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135" tabRatio="812" activeTab="0"/>
  </bookViews>
  <sheets>
    <sheet name="KPT" sheetId="1" r:id="rId1"/>
  </sheets>
  <definedNames>
    <definedName name="AKTIV">"GotovOblik 925"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<sst xmlns="http://schemas.openxmlformats.org/spreadsheetml/2006/main" count="215" uniqueCount="163">
  <si>
    <t>PRIMAR</t>
  </si>
  <si>
    <t>n</t>
  </si>
  <si>
    <t>Broj prolaza u cevnom registru</t>
  </si>
  <si>
    <t>Debljina zida cevi registra</t>
  </si>
  <si>
    <t>Cu</t>
  </si>
  <si>
    <t>A</t>
  </si>
  <si>
    <t>B</t>
  </si>
  <si>
    <t>FLUID U REGISTRU</t>
  </si>
  <si>
    <t>Protok fluida</t>
  </si>
  <si>
    <t>[kg/h]</t>
  </si>
  <si>
    <t>Srednja temperatura fluida</t>
  </si>
  <si>
    <t>r</t>
  </si>
  <si>
    <r>
      <t>[</t>
    </r>
    <r>
      <rPr>
        <vertAlign val="super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>C]</t>
    </r>
  </si>
  <si>
    <r>
      <t>[kg/m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]</t>
    </r>
  </si>
  <si>
    <t>l</t>
  </si>
  <si>
    <r>
      <t>[m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/s]</t>
    </r>
  </si>
  <si>
    <t>Debljina dijafragme</t>
  </si>
  <si>
    <t>C</t>
  </si>
  <si>
    <t>KONDUKCIJA I ZAPRLJANJE</t>
  </si>
  <si>
    <t>Toplotna provodlj. zida cevi</t>
  </si>
  <si>
    <t>Toplotna otpor zida cevi</t>
  </si>
  <si>
    <t>Topl.provodlj.naslaga u reg.</t>
  </si>
  <si>
    <t>Topl.provodlj.naslaga u om.</t>
  </si>
  <si>
    <t>Toplotni otpor naslaga reg.</t>
  </si>
  <si>
    <t>Debljina naslaga u registru</t>
  </si>
  <si>
    <t>Toplotni otpor naslaga om.</t>
  </si>
  <si>
    <t>Temperatura zida cevi iznutra</t>
  </si>
  <si>
    <t>TECNOST</t>
  </si>
  <si>
    <t>K</t>
  </si>
  <si>
    <t>D</t>
  </si>
  <si>
    <t>Brzina strujanja u registru</t>
  </si>
  <si>
    <t>Geometrijski faktor (4.25)</t>
  </si>
  <si>
    <t>Faktor smera fluksa (4.13),(4.24)</t>
  </si>
  <si>
    <t>Koeficijent trenja u registru (4.27)</t>
  </si>
  <si>
    <t>STRUJANJE</t>
  </si>
  <si>
    <t>Rejnoldsov broj u registru</t>
  </si>
  <si>
    <t>Pr</t>
  </si>
  <si>
    <t>d/L</t>
  </si>
  <si>
    <t>Hauzen,  (4.16)</t>
  </si>
  <si>
    <t xml:space="preserve">Vrednost Nuseltovog broja </t>
  </si>
  <si>
    <t>fluks const</t>
  </si>
  <si>
    <t>Re&lt;</t>
  </si>
  <si>
    <t>K&lt;33 i za Pr&gt;7</t>
  </si>
  <si>
    <t>Gnielinski,  (4.26)</t>
  </si>
  <si>
    <t>Hauzen,  (4.28a)</t>
  </si>
  <si>
    <t>Re&gt;</t>
  </si>
  <si>
    <t xml:space="preserve">MekAdams,  (4.29)      </t>
  </si>
  <si>
    <t>Samo za vodu</t>
  </si>
  <si>
    <t>No</t>
  </si>
  <si>
    <t xml:space="preserve">          k</t>
  </si>
  <si>
    <t>Koeficijent prolaza toplote</t>
  </si>
  <si>
    <t>Prema izboru</t>
  </si>
  <si>
    <t>Re</t>
  </si>
  <si>
    <t>Temperatura zida cevi spolja</t>
  </si>
  <si>
    <t>jed.(4.2)</t>
  </si>
  <si>
    <t>GAS</t>
  </si>
  <si>
    <t>K&lt;33 i za Pr&gt;6</t>
  </si>
  <si>
    <t>RAZMENA TOPLOTE BEZ PROMENE FAZE</t>
  </si>
  <si>
    <r>
      <t>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K/kW]</t>
    </r>
  </si>
  <si>
    <r>
      <t>z</t>
    </r>
    <r>
      <rPr>
        <i/>
        <vertAlign val="subscript"/>
        <sz val="12"/>
        <rFont val="Times New Roman"/>
        <family val="1"/>
      </rPr>
      <t>r</t>
    </r>
    <r>
      <rPr>
        <sz val="11"/>
        <rFont val="Arial"/>
        <family val="2"/>
      </rPr>
      <t xml:space="preserve"> [ - ]</t>
    </r>
  </si>
  <si>
    <r>
      <t>z</t>
    </r>
    <r>
      <rPr>
        <i/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</t>
    </r>
    <r>
      <rPr>
        <sz val="11"/>
        <rFont val="Arial"/>
        <family val="2"/>
      </rPr>
      <t>[ - ]</t>
    </r>
  </si>
  <si>
    <r>
      <t>n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[kom]</t>
    </r>
  </si>
  <si>
    <r>
      <t>D</t>
    </r>
    <r>
      <rPr>
        <i/>
        <vertAlign val="subscript"/>
        <sz val="12"/>
        <color indexed="8"/>
        <rFont val="Times New Roman"/>
        <family val="1"/>
      </rPr>
      <t>u</t>
    </r>
    <r>
      <rPr>
        <sz val="11"/>
        <color indexed="8"/>
        <rFont val="Arial"/>
        <family val="2"/>
      </rPr>
      <t xml:space="preserve"> [m]</t>
    </r>
  </si>
  <si>
    <r>
      <t>s</t>
    </r>
    <r>
      <rPr>
        <i/>
        <vertAlign val="subscript"/>
        <sz val="12"/>
        <rFont val="Times New Roman"/>
        <family val="1"/>
      </rPr>
      <t>r</t>
    </r>
    <r>
      <rPr>
        <i/>
        <sz val="12"/>
        <rFont val="Times New Roman"/>
        <family val="1"/>
      </rPr>
      <t xml:space="preserve"> </t>
    </r>
    <r>
      <rPr>
        <sz val="12"/>
        <rFont val="Arial"/>
        <family val="2"/>
      </rPr>
      <t>[m]</t>
    </r>
  </si>
  <si>
    <r>
      <t>d</t>
    </r>
    <r>
      <rPr>
        <i/>
        <vertAlign val="subscript"/>
        <sz val="12"/>
        <color indexed="8"/>
        <rFont val="Times New Roman"/>
        <family val="1"/>
      </rPr>
      <t>dij</t>
    </r>
    <r>
      <rPr>
        <vertAlign val="subscript"/>
        <sz val="12"/>
        <color indexed="8"/>
        <rFont val="YU L Swiss"/>
        <family val="2"/>
      </rPr>
      <t xml:space="preserve"> </t>
    </r>
    <r>
      <rPr>
        <sz val="12"/>
        <color indexed="8"/>
        <rFont val="Arial"/>
        <family val="2"/>
      </rPr>
      <t>[m]</t>
    </r>
  </si>
  <si>
    <r>
      <t>F</t>
    </r>
    <r>
      <rPr>
        <i/>
        <vertAlign val="subscript"/>
        <sz val="12"/>
        <rFont val="Times New Roman"/>
        <family val="1"/>
      </rPr>
      <t>o</t>
    </r>
    <r>
      <rPr>
        <sz val="12"/>
        <rFont val="Arial"/>
        <family val="2"/>
      </rPr>
      <t>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</si>
  <si>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F</t>
    </r>
    <r>
      <rPr>
        <i/>
        <vertAlign val="subscript"/>
        <sz val="12"/>
        <rFont val="Times New Roman"/>
        <family val="1"/>
      </rPr>
      <t>r</t>
    </r>
    <r>
      <rPr>
        <sz val="12"/>
        <rFont val="Arial"/>
        <family val="2"/>
      </rPr>
      <t>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</si>
  <si>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d</t>
    </r>
    <r>
      <rPr>
        <i/>
        <vertAlign val="subscript"/>
        <sz val="12"/>
        <rFont val="Times New Roman"/>
        <family val="1"/>
      </rPr>
      <t>ekv</t>
    </r>
    <r>
      <rPr>
        <sz val="12"/>
        <rFont val="Arial"/>
        <family val="2"/>
      </rPr>
      <t xml:space="preserve"> [m]</t>
    </r>
  </si>
  <si>
    <r>
      <t>m</t>
    </r>
    <r>
      <rPr>
        <i/>
        <vertAlign val="subscript"/>
        <sz val="12"/>
        <rFont val="Times New Roman"/>
        <family val="1"/>
      </rPr>
      <t>r</t>
    </r>
  </si>
  <si>
    <r>
      <t>t</t>
    </r>
    <r>
      <rPr>
        <i/>
        <vertAlign val="subscript"/>
        <sz val="12"/>
        <rFont val="Times New Roman"/>
        <family val="1"/>
      </rPr>
      <t>sr</t>
    </r>
  </si>
  <si>
    <t>[kJ/(kgK)]</t>
  </si>
  <si>
    <t>[kW/(mK)]</t>
  </si>
  <si>
    <r>
      <t>c</t>
    </r>
    <r>
      <rPr>
        <i/>
        <vertAlign val="subscript"/>
        <sz val="12"/>
        <rFont val="Times New Roman"/>
        <family val="1"/>
      </rPr>
      <t>p</t>
    </r>
  </si>
  <si>
    <r>
      <t>t</t>
    </r>
    <r>
      <rPr>
        <i/>
        <vertAlign val="subscript"/>
        <sz val="12"/>
        <rFont val="Times New Roman"/>
        <family val="1"/>
      </rPr>
      <t>z r</t>
    </r>
    <r>
      <rPr>
        <sz val="10"/>
        <rFont val="Arial"/>
        <family val="0"/>
      </rP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C]</t>
    </r>
  </si>
  <si>
    <r>
      <t>h</t>
    </r>
    <r>
      <rPr>
        <i/>
        <vertAlign val="subscript"/>
        <sz val="12"/>
        <rFont val="Arial"/>
        <family val="2"/>
      </rPr>
      <t>z</t>
    </r>
  </si>
  <si>
    <r>
      <t>t</t>
    </r>
    <r>
      <rPr>
        <i/>
        <vertAlign val="subscript"/>
        <sz val="12"/>
        <rFont val="Times New Roman"/>
        <family val="1"/>
      </rPr>
      <t>z o</t>
    </r>
    <r>
      <rPr>
        <sz val="10"/>
        <rFont val="Arial"/>
        <family val="0"/>
      </rP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C]</t>
    </r>
  </si>
  <si>
    <r>
      <t>m</t>
    </r>
    <r>
      <rPr>
        <i/>
        <vertAlign val="subscript"/>
        <sz val="12"/>
        <rFont val="Times New Roman"/>
        <family val="1"/>
      </rPr>
      <t>o</t>
    </r>
  </si>
  <si>
    <r>
      <t>t</t>
    </r>
    <r>
      <rPr>
        <i/>
        <vertAlign val="subscript"/>
        <sz val="12"/>
        <rFont val="Times New Roman"/>
        <family val="1"/>
      </rPr>
      <t>so</t>
    </r>
  </si>
  <si>
    <r>
      <t>l</t>
    </r>
    <r>
      <rPr>
        <i/>
        <vertAlign val="subscript"/>
        <sz val="12"/>
        <color indexed="8"/>
        <rFont val="Times New Roman"/>
        <family val="1"/>
      </rPr>
      <t>zc</t>
    </r>
  </si>
  <si>
    <r>
      <t>l</t>
    </r>
    <r>
      <rPr>
        <i/>
        <vertAlign val="subscript"/>
        <sz val="12"/>
        <color indexed="8"/>
        <rFont val="Times New Roman"/>
        <family val="1"/>
      </rPr>
      <t>nr</t>
    </r>
  </si>
  <si>
    <r>
      <t>d</t>
    </r>
    <r>
      <rPr>
        <i/>
        <vertAlign val="subscript"/>
        <sz val="12"/>
        <color indexed="8"/>
        <rFont val="Times New Roman"/>
        <family val="1"/>
      </rPr>
      <t>nr</t>
    </r>
  </si>
  <si>
    <r>
      <t>R</t>
    </r>
    <r>
      <rPr>
        <i/>
        <vertAlign val="subscript"/>
        <sz val="12"/>
        <color indexed="8"/>
        <rFont val="Times New Roman"/>
        <family val="1"/>
      </rPr>
      <t>r</t>
    </r>
  </si>
  <si>
    <r>
      <t>R</t>
    </r>
    <r>
      <rPr>
        <i/>
        <vertAlign val="subscript"/>
        <sz val="12"/>
        <color indexed="8"/>
        <rFont val="Times New Roman"/>
        <family val="1"/>
      </rPr>
      <t>r usv</t>
    </r>
  </si>
  <si>
    <r>
      <t>l</t>
    </r>
    <r>
      <rPr>
        <i/>
        <vertAlign val="subscript"/>
        <sz val="12"/>
        <color indexed="8"/>
        <rFont val="Times New Roman"/>
        <family val="1"/>
      </rPr>
      <t>no</t>
    </r>
  </si>
  <si>
    <r>
      <t>d</t>
    </r>
    <r>
      <rPr>
        <i/>
        <vertAlign val="subscript"/>
        <sz val="12"/>
        <color indexed="8"/>
        <rFont val="Times New Roman"/>
        <family val="1"/>
      </rPr>
      <t>no</t>
    </r>
  </si>
  <si>
    <r>
      <t>R</t>
    </r>
    <r>
      <rPr>
        <i/>
        <vertAlign val="subscript"/>
        <sz val="12"/>
        <color indexed="8"/>
        <rFont val="Times New Roman"/>
        <family val="1"/>
      </rPr>
      <t>o</t>
    </r>
  </si>
  <si>
    <r>
      <t>R</t>
    </r>
    <r>
      <rPr>
        <i/>
        <vertAlign val="subscript"/>
        <sz val="12"/>
        <color indexed="8"/>
        <rFont val="Times New Roman"/>
        <family val="1"/>
      </rPr>
      <t>o usv</t>
    </r>
  </si>
  <si>
    <r>
      <t>R</t>
    </r>
    <r>
      <rPr>
        <i/>
        <vertAlign val="subscript"/>
        <sz val="12"/>
        <color indexed="8"/>
        <rFont val="Times New Roman"/>
        <family val="1"/>
      </rPr>
      <t>zc</t>
    </r>
  </si>
  <si>
    <r>
      <t>w</t>
    </r>
    <r>
      <rPr>
        <i/>
        <vertAlign val="subscript"/>
        <sz val="12"/>
        <rFont val="Arial"/>
        <family val="2"/>
      </rPr>
      <t>r</t>
    </r>
  </si>
  <si>
    <r>
      <t>Re</t>
    </r>
    <r>
      <rPr>
        <i/>
        <vertAlign val="subscript"/>
        <sz val="12"/>
        <rFont val="Times New Roman"/>
        <family val="1"/>
      </rPr>
      <t>r</t>
    </r>
  </si>
  <si>
    <r>
      <t>Pr</t>
    </r>
    <r>
      <rPr>
        <i/>
        <vertAlign val="subscript"/>
        <sz val="12"/>
        <rFont val="Times New Roman"/>
        <family val="1"/>
      </rPr>
      <t>r</t>
    </r>
  </si>
  <si>
    <r>
      <t>L</t>
    </r>
    <r>
      <rPr>
        <i/>
        <vertAlign val="subscript"/>
        <sz val="12"/>
        <rFont val="Times New Roman"/>
        <family val="1"/>
      </rPr>
      <t>r</t>
    </r>
  </si>
  <si>
    <t xml:space="preserve"> [m/s]</t>
  </si>
  <si>
    <t>[m]</t>
  </si>
  <si>
    <t xml:space="preserve"> [m]</t>
  </si>
  <si>
    <r>
      <t>w</t>
    </r>
    <r>
      <rPr>
        <i/>
        <vertAlign val="subscript"/>
        <sz val="12"/>
        <rFont val="Arial"/>
        <family val="2"/>
      </rPr>
      <t>o</t>
    </r>
  </si>
  <si>
    <r>
      <t>Re</t>
    </r>
    <r>
      <rPr>
        <i/>
        <vertAlign val="subscript"/>
        <sz val="12"/>
        <rFont val="Times New Roman"/>
        <family val="1"/>
      </rPr>
      <t>o</t>
    </r>
  </si>
  <si>
    <r>
      <t>Pr</t>
    </r>
    <r>
      <rPr>
        <i/>
        <vertAlign val="subscript"/>
        <sz val="12"/>
        <rFont val="Times New Roman"/>
        <family val="1"/>
      </rPr>
      <t>o</t>
    </r>
  </si>
  <si>
    <r>
      <t>L</t>
    </r>
    <r>
      <rPr>
        <i/>
        <vertAlign val="subscript"/>
        <sz val="12"/>
        <rFont val="Times New Roman"/>
        <family val="1"/>
      </rPr>
      <t>o</t>
    </r>
  </si>
  <si>
    <r>
      <t>d/L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&lt;</t>
    </r>
    <r>
      <rPr>
        <sz val="12"/>
        <rFont val="Times New Roman"/>
        <family val="1"/>
      </rPr>
      <t xml:space="preserve"> 1</t>
    </r>
  </si>
  <si>
    <r>
      <t>d/L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&lt;</t>
    </r>
    <r>
      <rPr>
        <sz val="12"/>
        <rFont val="Times New Roman"/>
        <family val="1"/>
      </rPr>
      <t xml:space="preserve"> 2</t>
    </r>
  </si>
  <si>
    <r>
      <t>t</t>
    </r>
    <r>
      <rPr>
        <i/>
        <vertAlign val="subscript"/>
        <sz val="12"/>
        <rFont val="Times New Roman"/>
        <family val="1"/>
      </rPr>
      <t>z</t>
    </r>
    <r>
      <rPr>
        <sz val="11"/>
        <rFont val="YU L Swiss"/>
        <family val="2"/>
      </rPr>
      <t>=const</t>
    </r>
  </si>
  <si>
    <r>
      <t>a</t>
    </r>
    <r>
      <rPr>
        <i/>
        <vertAlign val="subscript"/>
        <sz val="12"/>
        <rFont val="Arial"/>
        <family val="2"/>
      </rPr>
      <t>o</t>
    </r>
  </si>
  <si>
    <r>
      <t>a</t>
    </r>
    <r>
      <rPr>
        <i/>
        <vertAlign val="subscript"/>
        <sz val="12"/>
        <rFont val="Arial"/>
        <family val="2"/>
      </rPr>
      <t>r</t>
    </r>
  </si>
  <si>
    <r>
      <t>[kW/(m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K)]</t>
    </r>
  </si>
  <si>
    <r>
      <t>d</t>
    </r>
    <r>
      <rPr>
        <i/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[m]</t>
    </r>
  </si>
  <si>
    <r>
      <t>L</t>
    </r>
    <r>
      <rPr>
        <i/>
        <vertAlign val="subscript"/>
        <sz val="12"/>
        <rFont val="Times New Roman"/>
        <family val="1"/>
      </rPr>
      <t>g</t>
    </r>
    <r>
      <rPr>
        <sz val="10"/>
        <rFont val="Arial"/>
        <family val="0"/>
      </rPr>
      <t xml:space="preserve"> </t>
    </r>
    <r>
      <rPr>
        <sz val="12"/>
        <rFont val="Arial"/>
        <family val="2"/>
      </rPr>
      <t>[m]</t>
    </r>
  </si>
  <si>
    <r>
      <t>r</t>
    </r>
    <r>
      <rPr>
        <i/>
        <vertAlign val="subscript"/>
        <sz val="12"/>
        <color indexed="8"/>
        <rFont val="Times New Roman"/>
        <family val="1"/>
      </rPr>
      <t>max</t>
    </r>
    <r>
      <rPr>
        <sz val="12"/>
        <color indexed="8"/>
        <rFont val="Arial"/>
        <family val="2"/>
      </rPr>
      <t>[m]</t>
    </r>
  </si>
  <si>
    <r>
      <t>d</t>
    </r>
    <r>
      <rPr>
        <i/>
        <vertAlign val="subscript"/>
        <sz val="12"/>
        <rFont val="Times New Roman"/>
        <family val="1"/>
      </rPr>
      <t>u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[m]</t>
    </r>
  </si>
  <si>
    <t>0,7&lt; Pr &lt;7</t>
  </si>
  <si>
    <t>0,5&lt; Pr &lt;1000</t>
  </si>
  <si>
    <t>0,7&lt; Pr &lt;2500</t>
  </si>
  <si>
    <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</si>
  <si>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f</t>
    </r>
    <r>
      <rPr>
        <i/>
        <vertAlign val="subscript"/>
        <sz val="12"/>
        <rFont val="Times New Roman"/>
        <family val="1"/>
      </rPr>
      <t>Gr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</si>
  <si>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f</t>
    </r>
    <r>
      <rPr>
        <i/>
        <vertAlign val="subscript"/>
        <sz val="12"/>
        <rFont val="Times New Roman"/>
        <family val="1"/>
      </rPr>
      <t>Qr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</si>
  <si>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K</t>
    </r>
    <r>
      <rPr>
        <i/>
        <vertAlign val="subscript"/>
        <sz val="12"/>
        <rFont val="Times New Roman"/>
        <family val="1"/>
      </rPr>
      <t>r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</si>
  <si>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x</t>
    </r>
    <r>
      <rPr>
        <i/>
        <vertAlign val="subscript"/>
        <sz val="12"/>
        <rFont val="Times New Roman"/>
        <family val="1"/>
      </rPr>
      <t>r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</si>
  <si>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f</t>
    </r>
    <r>
      <rPr>
        <i/>
        <vertAlign val="subscript"/>
        <sz val="12"/>
        <rFont val="Times New Roman"/>
        <family val="1"/>
      </rPr>
      <t>Go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</si>
  <si>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f</t>
    </r>
    <r>
      <rPr>
        <i/>
        <vertAlign val="subscript"/>
        <sz val="12"/>
        <rFont val="Times New Roman"/>
        <family val="1"/>
      </rPr>
      <t>Qo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</si>
  <si>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K</t>
    </r>
    <r>
      <rPr>
        <i/>
        <vertAlign val="subscript"/>
        <sz val="12"/>
        <rFont val="Times New Roman"/>
        <family val="1"/>
      </rPr>
      <t>o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</si>
  <si>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x</t>
    </r>
    <r>
      <rPr>
        <i/>
        <vertAlign val="subscript"/>
        <sz val="12"/>
        <rFont val="Times New Roman"/>
        <family val="1"/>
      </rPr>
      <t>o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</si>
  <si>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Nu</t>
    </r>
    <r>
      <rPr>
        <i/>
        <vertAlign val="subscript"/>
        <sz val="12"/>
        <rFont val="Times New Roman"/>
        <family val="1"/>
      </rPr>
      <t>r</t>
    </r>
    <r>
      <rPr>
        <sz val="12"/>
        <rFont val="Arial"/>
        <family val="2"/>
      </rPr>
      <t>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</si>
  <si>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Nu</t>
    </r>
    <r>
      <rPr>
        <i/>
        <vertAlign val="subscript"/>
        <sz val="12"/>
        <rFont val="Times New Roman"/>
        <family val="1"/>
      </rPr>
      <t>o</t>
    </r>
    <r>
      <rPr>
        <sz val="12"/>
        <rFont val="Arial"/>
        <family val="2"/>
      </rPr>
      <t>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</si>
  <si>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a</t>
    </r>
    <r>
      <rPr>
        <sz val="10"/>
        <color indexed="8"/>
        <rFont val="Arial"/>
        <family val="2"/>
      </rPr>
      <t xml:space="preserve"> [kW/(m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K)]</t>
    </r>
  </si>
  <si>
    <t>KOEFICIJENT PRELAZA TOPLOTE KONVEKCIJOM</t>
  </si>
  <si>
    <t>Prantlov broj u registru</t>
  </si>
  <si>
    <t>Broj prolaza u omotaču</t>
  </si>
  <si>
    <t>Ukupni broj otvora na cevnoj ploči</t>
  </si>
  <si>
    <t>Unutrašnji prečnik omotača</t>
  </si>
  <si>
    <t>Spoljašnji prečnik cevi</t>
  </si>
  <si>
    <t>GEOMETRIJA  DOBOŠASTOG  RAZMENJIVAČA TOPLOTE</t>
  </si>
  <si>
    <r>
      <t>Spec.toplotni kapacitet pri t</t>
    </r>
    <r>
      <rPr>
        <sz val="9"/>
        <color indexed="8"/>
        <rFont val="Arial"/>
        <family val="2"/>
      </rPr>
      <t>sr</t>
    </r>
  </si>
  <si>
    <r>
      <t>Gustina pri</t>
    </r>
    <r>
      <rPr>
        <i/>
        <sz val="12"/>
        <color indexed="8"/>
        <rFont val="Arial"/>
        <family val="2"/>
      </rPr>
      <t xml:space="preserve"> t</t>
    </r>
    <r>
      <rPr>
        <i/>
        <vertAlign val="subscript"/>
        <sz val="12"/>
        <color indexed="8"/>
        <rFont val="Arial"/>
        <family val="2"/>
      </rPr>
      <t>sr</t>
    </r>
  </si>
  <si>
    <r>
      <t>Kinematski viskozitet pri t</t>
    </r>
    <r>
      <rPr>
        <sz val="9"/>
        <color indexed="8"/>
        <rFont val="Arial"/>
        <family val="2"/>
      </rPr>
      <t>sr</t>
    </r>
  </si>
  <si>
    <r>
      <t>Toplotna provodljivost pri t</t>
    </r>
    <r>
      <rPr>
        <sz val="9"/>
        <color indexed="8"/>
        <rFont val="Arial"/>
        <family val="2"/>
      </rPr>
      <t>sr</t>
    </r>
  </si>
  <si>
    <r>
      <t>Kinematski viskozitet pri t</t>
    </r>
    <r>
      <rPr>
        <sz val="9"/>
        <color indexed="8"/>
        <rFont val="Arial"/>
        <family val="2"/>
      </rPr>
      <t>zr</t>
    </r>
  </si>
  <si>
    <r>
      <t>Faktor</t>
    </r>
    <r>
      <rPr>
        <i/>
        <sz val="11"/>
        <color indexed="8"/>
        <rFont val="Arial"/>
        <family val="2"/>
      </rPr>
      <t xml:space="preserve"> K = </t>
    </r>
    <r>
      <rPr>
        <sz val="11"/>
        <color indexed="8"/>
        <rFont val="Arial"/>
        <family val="2"/>
      </rPr>
      <t>Re Pr</t>
    </r>
    <r>
      <rPr>
        <i/>
        <sz val="11"/>
        <color indexed="8"/>
        <rFont val="Arial"/>
        <family val="2"/>
      </rPr>
      <t xml:space="preserve"> d/L</t>
    </r>
  </si>
  <si>
    <r>
      <t>2300&lt; Re &lt;10</t>
    </r>
    <r>
      <rPr>
        <vertAlign val="superscript"/>
        <sz val="12"/>
        <rFont val="Arial"/>
        <family val="2"/>
      </rPr>
      <t>6</t>
    </r>
  </si>
  <si>
    <r>
      <t>Nu</t>
    </r>
    <r>
      <rPr>
        <sz val="9"/>
        <rFont val="Arial"/>
        <family val="2"/>
      </rPr>
      <t>lam</t>
    </r>
    <r>
      <rPr>
        <sz val="12"/>
        <rFont val="Arial"/>
        <family val="2"/>
      </rPr>
      <t xml:space="preserve">, </t>
    </r>
    <r>
      <rPr>
        <sz val="11"/>
        <rFont val="Arial"/>
        <family val="2"/>
      </rPr>
      <t>prema</t>
    </r>
  </si>
  <si>
    <r>
      <t>Nu</t>
    </r>
    <r>
      <rPr>
        <sz val="9"/>
        <rFont val="Arial"/>
        <family val="2"/>
      </rPr>
      <t>T</t>
    </r>
    <r>
      <rPr>
        <sz val="11"/>
        <rFont val="Arial"/>
        <family val="2"/>
      </rPr>
      <t>, prema</t>
    </r>
  </si>
  <si>
    <t>SNIP,  (4.30)                  a</t>
  </si>
  <si>
    <r>
      <t>Nu</t>
    </r>
    <r>
      <rPr>
        <i/>
        <vertAlign val="subscript"/>
        <sz val="12"/>
        <rFont val="Arial"/>
        <family val="2"/>
      </rPr>
      <t>lam</t>
    </r>
    <r>
      <rPr>
        <sz val="12"/>
        <rFont val="Arial"/>
        <family val="2"/>
      </rPr>
      <t>, (4.34)</t>
    </r>
  </si>
  <si>
    <t>Šah,  (4.17), (4.18)</t>
  </si>
  <si>
    <t>Štefan,  (4.19)</t>
  </si>
  <si>
    <t>Štefan,  (4.20)</t>
  </si>
  <si>
    <t>Unutrašnji prečnik cevi registra</t>
  </si>
  <si>
    <t>Dužina pravog dela registra</t>
  </si>
  <si>
    <t>Maks. poluprečnik savijanja</t>
  </si>
  <si>
    <t>Površina preseka registra</t>
  </si>
  <si>
    <t>Površina preseka omotača</t>
  </si>
  <si>
    <t>Ekvivalentni prečnik omotača</t>
  </si>
  <si>
    <t>REŽIM RADA RAZMENJIVAČA TOPLOTE</t>
  </si>
  <si>
    <t>FLUID U OMOTAČU</t>
  </si>
  <si>
    <t>Dužina strujnog toka registra</t>
  </si>
  <si>
    <t>Dužina strujnog toka omotača</t>
  </si>
  <si>
    <t>Debljina naslaga u omotaču</t>
  </si>
  <si>
    <t>Brzina strujanja u omotaču</t>
  </si>
  <si>
    <t>Rejnoldsov broj u omotaču</t>
  </si>
  <si>
    <t>Prantlov broj u omotaču</t>
  </si>
  <si>
    <t>Koeficijent trenja u omotaču (4.27)</t>
  </si>
  <si>
    <t>Termički i hidraulički razvij. struja</t>
  </si>
  <si>
    <t>Čerčil,  (4.33)</t>
  </si>
  <si>
    <t>NAPOMENA: Oznaka "SOS", označava vrednost polja van zadatog domena definisanosti.</t>
  </si>
</sst>
</file>

<file path=xl/styles.xml><?xml version="1.0" encoding="utf-8"?>
<styleSheet xmlns="http://schemas.openxmlformats.org/spreadsheetml/2006/main">
  <numFmts count="4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_);\(#,##0\ &quot;din.&quot;\)"/>
    <numFmt numFmtId="173" formatCode="#,##0\ &quot;din.&quot;_);[Red]\(#,##0\ &quot;din.&quot;\)"/>
    <numFmt numFmtId="174" formatCode="#,##0.00\ &quot;din.&quot;_);\(#,##0.00\ &quot;din.&quot;\)"/>
    <numFmt numFmtId="175" formatCode="#,##0.00\ &quot;din.&quot;_);[Red]\(#,##0.00\ &quot;din.&quot;\)"/>
    <numFmt numFmtId="176" formatCode="_ * #,##0_)\ &quot;din.&quot;_ ;_ * \(#,##0\)\ &quot;din.&quot;_ ;_ * &quot;-&quot;_)\ &quot;din.&quot;_ ;_ @_ "/>
    <numFmt numFmtId="177" formatCode="_ * #,##0_)\ _D_i_n_._ ;_ * \(#,##0\)\ _D_i_n_._ ;_ * &quot;-&quot;_)\ _D_i_n_._ ;_ @_ "/>
    <numFmt numFmtId="178" formatCode="_ * #,##0.00_)\ &quot;din.&quot;_ ;_ * \(#,##0.00\)\ &quot;din.&quot;_ ;_ * &quot;-&quot;??_)\ &quot;din.&quot;_ ;_ @_ "/>
    <numFmt numFmtId="179" formatCode="_ * #,##0.00_)\ _D_i_n_._ ;_ * \(#,##0.00\)\ _D_i_n_._ ;_ * &quot;-&quot;??_)\ _D_i_n_._ ;_ @_ "/>
    <numFmt numFmtId="180" formatCode="00000"/>
    <numFmt numFmtId="181" formatCode="0.00;[Red]0.00"/>
    <numFmt numFmtId="182" formatCode="0.0;[Red]0.0"/>
    <numFmt numFmtId="183" formatCode="0;[Red]0"/>
    <numFmt numFmtId="184" formatCode="0.0%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dd\-mmm\-yy"/>
    <numFmt numFmtId="193" formatCode="dd/mm/yyyy"/>
    <numFmt numFmtId="194" formatCode="0.000000000"/>
    <numFmt numFmtId="195" formatCode="0.0000000000"/>
    <numFmt numFmtId="196" formatCode="0.00000000000"/>
    <numFmt numFmtId="197" formatCode="0.000000000000"/>
    <numFmt numFmtId="198" formatCode="&quot;Da&quot;;&quot;Da&quot;;&quot;Ne&quot;"/>
    <numFmt numFmtId="199" formatCode="&quot;Istina&quot;;&quot;Istina&quot;;&quot;Laž&quot;"/>
    <numFmt numFmtId="200" formatCode="&quot;Uključeno&quot;;&quot;Uključeno&quot;;&quot;Isključeno&quot;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sz val="12"/>
      <name val="Symbol"/>
      <family val="1"/>
    </font>
    <font>
      <sz val="10"/>
      <name val="YU L Swiss"/>
      <family val="2"/>
    </font>
    <font>
      <sz val="12"/>
      <name val="YU L Swiss"/>
      <family val="2"/>
    </font>
    <font>
      <sz val="12"/>
      <name val="Arial"/>
      <family val="0"/>
    </font>
    <font>
      <sz val="11"/>
      <name val="YU L Swiss"/>
      <family val="2"/>
    </font>
    <font>
      <sz val="11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12"/>
      <name val="Bahamas Bold YU"/>
      <family val="2"/>
    </font>
    <font>
      <sz val="10"/>
      <color indexed="20"/>
      <name val="YU L Umrela"/>
      <family val="2"/>
    </font>
    <font>
      <sz val="10"/>
      <color indexed="12"/>
      <name val="Bahamas YU"/>
      <family val="2"/>
    </font>
    <font>
      <sz val="12"/>
      <color indexed="33"/>
      <name val="YU L Swiss"/>
      <family val="2"/>
    </font>
    <font>
      <b/>
      <sz val="12"/>
      <color indexed="33"/>
      <name val="YU L Swiss"/>
      <family val="2"/>
    </font>
    <font>
      <b/>
      <sz val="12"/>
      <color indexed="12"/>
      <name val="YU L Swiss"/>
      <family val="2"/>
    </font>
    <font>
      <sz val="10"/>
      <color indexed="8"/>
      <name val="Arial"/>
      <family val="2"/>
    </font>
    <font>
      <sz val="11"/>
      <color indexed="33"/>
      <name val="YU L Swiss"/>
      <family val="2"/>
    </font>
    <font>
      <vertAlign val="superscript"/>
      <sz val="12"/>
      <name val="Arial"/>
      <family val="2"/>
    </font>
    <font>
      <vertAlign val="superscript"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2"/>
      <color indexed="8"/>
      <name val="YU L Swiss"/>
      <family val="2"/>
    </font>
    <font>
      <b/>
      <sz val="10"/>
      <color indexed="8"/>
      <name val="YU L Swiss"/>
      <family val="2"/>
    </font>
    <font>
      <sz val="12"/>
      <color indexed="14"/>
      <name val="Arial"/>
      <family val="2"/>
    </font>
    <font>
      <b/>
      <sz val="10"/>
      <color indexed="12"/>
      <name val="Arial"/>
      <family val="2"/>
    </font>
    <font>
      <sz val="10"/>
      <name val="Symbol"/>
      <family val="1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21"/>
      <name val="YU L Swiss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2"/>
      <name val="YU L Swiss"/>
      <family val="2"/>
    </font>
    <font>
      <sz val="10"/>
      <color indexed="12"/>
      <name val="Yu Helvetica"/>
      <family val="2"/>
    </font>
    <font>
      <sz val="10"/>
      <color indexed="20"/>
      <name val="Yu Helvetica"/>
      <family val="2"/>
    </font>
    <font>
      <sz val="11"/>
      <color indexed="8"/>
      <name val="Symbol"/>
      <family val="1"/>
    </font>
    <font>
      <sz val="8"/>
      <color indexed="21"/>
      <name val="YU L Swiss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i/>
      <sz val="12"/>
      <color indexed="8"/>
      <name val="Arial"/>
      <family val="2"/>
    </font>
    <font>
      <i/>
      <vertAlign val="subscript"/>
      <sz val="12"/>
      <color indexed="8"/>
      <name val="Arial"/>
      <family val="2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i/>
      <sz val="12"/>
      <name val="Arial"/>
      <family val="2"/>
    </font>
    <font>
      <vertAlign val="subscript"/>
      <sz val="12"/>
      <color indexed="8"/>
      <name val="YU L Swiss"/>
      <family val="2"/>
    </font>
    <font>
      <i/>
      <sz val="12"/>
      <name val="Symbol"/>
      <family val="1"/>
    </font>
    <font>
      <i/>
      <vertAlign val="subscript"/>
      <sz val="12"/>
      <name val="Arial"/>
      <family val="2"/>
    </font>
    <font>
      <i/>
      <sz val="12"/>
      <color indexed="8"/>
      <name val="Symbol"/>
      <family val="1"/>
    </font>
    <font>
      <u val="single"/>
      <sz val="12"/>
      <name val="Times New Roman"/>
      <family val="1"/>
    </font>
    <font>
      <i/>
      <sz val="11"/>
      <color indexed="8"/>
      <name val="Arial"/>
      <family val="2"/>
    </font>
    <font>
      <sz val="18"/>
      <color indexed="21"/>
      <name val="Arial"/>
      <family val="2"/>
    </font>
    <font>
      <sz val="9"/>
      <color indexed="8"/>
      <name val="Arial"/>
      <family val="2"/>
    </font>
    <font>
      <b/>
      <sz val="12"/>
      <color indexed="3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9" fillId="2" borderId="1" xfId="0" applyFont="1" applyFill="1" applyBorder="1" applyAlignment="1" applyProtection="1">
      <alignment horizontal="center"/>
      <protection locked="0"/>
    </xf>
    <xf numFmtId="11" fontId="29" fillId="2" borderId="1" xfId="0" applyNumberFormat="1" applyFont="1" applyFill="1" applyBorder="1" applyAlignment="1" applyProtection="1">
      <alignment horizontal="center"/>
      <protection locked="0"/>
    </xf>
    <xf numFmtId="0" fontId="31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29" fillId="2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33" fillId="3" borderId="1" xfId="0" applyFont="1" applyFill="1" applyBorder="1" applyAlignment="1" applyProtection="1">
      <alignment horizontal="center"/>
      <protection hidden="1"/>
    </xf>
    <xf numFmtId="0" fontId="17" fillId="3" borderId="3" xfId="0" applyFont="1" applyFill="1" applyBorder="1" applyAlignment="1" applyProtection="1">
      <alignment vertical="center"/>
      <protection hidden="1"/>
    </xf>
    <xf numFmtId="0" fontId="16" fillId="3" borderId="3" xfId="0" applyFont="1" applyFill="1" applyBorder="1" applyAlignment="1" applyProtection="1">
      <alignment vertical="center"/>
      <protection hidden="1"/>
    </xf>
    <xf numFmtId="0" fontId="17" fillId="3" borderId="4" xfId="0" applyFont="1" applyFill="1" applyBorder="1" applyAlignment="1" applyProtection="1">
      <alignment vertical="center"/>
      <protection hidden="1"/>
    </xf>
    <xf numFmtId="0" fontId="16" fillId="3" borderId="4" xfId="0" applyFont="1" applyFill="1" applyBorder="1" applyAlignment="1" applyProtection="1">
      <alignment vertical="center"/>
      <protection hidden="1"/>
    </xf>
    <xf numFmtId="0" fontId="19" fillId="3" borderId="1" xfId="0" applyFont="1" applyFill="1" applyBorder="1" applyAlignment="1" applyProtection="1">
      <alignment horizontal="center"/>
      <protection hidden="1"/>
    </xf>
    <xf numFmtId="0" fontId="17" fillId="3" borderId="5" xfId="0" applyFont="1" applyFill="1" applyBorder="1" applyAlignment="1" applyProtection="1">
      <alignment vertical="center"/>
      <protection hidden="1"/>
    </xf>
    <xf numFmtId="0" fontId="16" fillId="3" borderId="5" xfId="0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/>
      <protection hidden="1"/>
    </xf>
    <xf numFmtId="0" fontId="7" fillId="3" borderId="0" xfId="0" applyFont="1" applyFill="1" applyAlignment="1" applyProtection="1">
      <alignment/>
      <protection hidden="1"/>
    </xf>
    <xf numFmtId="0" fontId="34" fillId="3" borderId="6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right"/>
      <protection hidden="1"/>
    </xf>
    <xf numFmtId="0" fontId="8" fillId="3" borderId="7" xfId="0" applyFont="1" applyFill="1" applyBorder="1" applyAlignment="1" applyProtection="1">
      <alignment horizontal="right"/>
      <protection hidden="1"/>
    </xf>
    <xf numFmtId="0" fontId="7" fillId="3" borderId="3" xfId="0" applyFont="1" applyFill="1" applyBorder="1" applyAlignment="1" applyProtection="1">
      <alignment/>
      <protection hidden="1"/>
    </xf>
    <xf numFmtId="0" fontId="7" fillId="3" borderId="0" xfId="0" applyFont="1" applyFill="1" applyBorder="1" applyAlignment="1" applyProtection="1">
      <alignment/>
      <protection hidden="1"/>
    </xf>
    <xf numFmtId="0" fontId="7" fillId="3" borderId="7" xfId="0" applyFont="1" applyFill="1" applyBorder="1" applyAlignment="1" applyProtection="1">
      <alignment horizontal="right"/>
      <protection hidden="1"/>
    </xf>
    <xf numFmtId="0" fontId="7" fillId="3" borderId="5" xfId="0" applyFont="1" applyFill="1" applyBorder="1" applyAlignment="1" applyProtection="1">
      <alignment/>
      <protection hidden="1"/>
    </xf>
    <xf numFmtId="0" fontId="7" fillId="3" borderId="8" xfId="0" applyFont="1" applyFill="1" applyBorder="1" applyAlignment="1" applyProtection="1">
      <alignment horizontal="right"/>
      <protection hidden="1"/>
    </xf>
    <xf numFmtId="0" fontId="24" fillId="4" borderId="9" xfId="0" applyFont="1" applyFill="1" applyBorder="1" applyAlignment="1" applyProtection="1">
      <alignment horizontal="center" vertical="center"/>
      <protection hidden="1"/>
    </xf>
    <xf numFmtId="0" fontId="26" fillId="4" borderId="1" xfId="0" applyFont="1" applyFill="1" applyBorder="1" applyAlignment="1" applyProtection="1">
      <alignment horizontal="center" vertical="center"/>
      <protection hidden="1"/>
    </xf>
    <xf numFmtId="0" fontId="8" fillId="3" borderId="5" xfId="0" applyFont="1" applyFill="1" applyBorder="1" applyAlignment="1" applyProtection="1">
      <alignment horizontal="right"/>
      <protection hidden="1"/>
    </xf>
    <xf numFmtId="0" fontId="7" fillId="3" borderId="4" xfId="0" applyFont="1" applyFill="1" applyBorder="1" applyAlignment="1" applyProtection="1">
      <alignment/>
      <protection hidden="1"/>
    </xf>
    <xf numFmtId="0" fontId="7" fillId="3" borderId="10" xfId="0" applyFont="1" applyFill="1" applyBorder="1" applyAlignment="1" applyProtection="1">
      <alignment horizontal="right"/>
      <protection hidden="1"/>
    </xf>
    <xf numFmtId="0" fontId="23" fillId="4" borderId="1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35" fillId="3" borderId="0" xfId="0" applyFont="1" applyFill="1" applyBorder="1" applyAlignment="1" applyProtection="1">
      <alignment horizontal="center"/>
      <protection hidden="1"/>
    </xf>
    <xf numFmtId="0" fontId="31" fillId="3" borderId="0" xfId="0" applyFont="1" applyFill="1" applyBorder="1" applyAlignment="1" applyProtection="1">
      <alignment horizontal="center" vertical="center"/>
      <protection hidden="1"/>
    </xf>
    <xf numFmtId="0" fontId="18" fillId="4" borderId="0" xfId="0" applyFont="1" applyFill="1" applyAlignment="1" applyProtection="1">
      <alignment/>
      <protection hidden="1"/>
    </xf>
    <xf numFmtId="0" fontId="27" fillId="4" borderId="0" xfId="0" applyFont="1" applyFill="1" applyAlignment="1" applyProtection="1">
      <alignment horizontal="right"/>
      <protection hidden="1"/>
    </xf>
    <xf numFmtId="0" fontId="35" fillId="3" borderId="10" xfId="0" applyFont="1" applyFill="1" applyBorder="1" applyAlignment="1" applyProtection="1">
      <alignment horizontal="center"/>
      <protection hidden="1"/>
    </xf>
    <xf numFmtId="0" fontId="16" fillId="4" borderId="3" xfId="0" applyFont="1" applyFill="1" applyBorder="1" applyAlignment="1" applyProtection="1">
      <alignment vertical="center"/>
      <protection hidden="1"/>
    </xf>
    <xf numFmtId="0" fontId="33" fillId="4" borderId="0" xfId="0" applyFont="1" applyFill="1" applyBorder="1" applyAlignment="1" applyProtection="1">
      <alignment horizontal="center" vertical="center"/>
      <protection hidden="1"/>
    </xf>
    <xf numFmtId="0" fontId="30" fillId="3" borderId="0" xfId="0" applyFont="1" applyFill="1" applyBorder="1" applyAlignment="1" applyProtection="1">
      <alignment horizontal="center" vertical="center"/>
      <protection hidden="1"/>
    </xf>
    <xf numFmtId="0" fontId="32" fillId="4" borderId="1" xfId="0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33" fillId="4" borderId="1" xfId="0" applyFont="1" applyFill="1" applyBorder="1" applyAlignment="1" applyProtection="1">
      <alignment horizontal="center" vertical="center"/>
      <protection hidden="1"/>
    </xf>
    <xf numFmtId="0" fontId="8" fillId="4" borderId="1" xfId="0" applyNumberFormat="1" applyFont="1" applyFill="1" applyBorder="1" applyAlignment="1" applyProtection="1">
      <alignment horizontal="center" vertical="center"/>
      <protection hidden="1"/>
    </xf>
    <xf numFmtId="0" fontId="8" fillId="4" borderId="1" xfId="0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4" borderId="1" xfId="0" applyFont="1" applyFill="1" applyBorder="1" applyAlignment="1" applyProtection="1">
      <alignment/>
      <protection hidden="1"/>
    </xf>
    <xf numFmtId="0" fontId="7" fillId="3" borderId="10" xfId="0" applyFont="1" applyFill="1" applyBorder="1" applyAlignment="1" applyProtection="1">
      <alignment/>
      <protection hidden="1"/>
    </xf>
    <xf numFmtId="0" fontId="7" fillId="3" borderId="6" xfId="0" applyFont="1" applyFill="1" applyBorder="1" applyAlignment="1" applyProtection="1">
      <alignment/>
      <protection hidden="1"/>
    </xf>
    <xf numFmtId="0" fontId="23" fillId="3" borderId="1" xfId="0" applyFont="1" applyFill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23" fillId="3" borderId="11" xfId="0" applyFont="1" applyFill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/>
      <protection hidden="1"/>
    </xf>
    <xf numFmtId="0" fontId="7" fillId="0" borderId="3" xfId="0" applyFont="1" applyBorder="1" applyAlignment="1" applyProtection="1">
      <alignment/>
      <protection hidden="1"/>
    </xf>
    <xf numFmtId="0" fontId="7" fillId="0" borderId="4" xfId="0" applyFont="1" applyBorder="1" applyAlignment="1" applyProtection="1">
      <alignment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8" fillId="4" borderId="13" xfId="0" applyFont="1" applyFill="1" applyBorder="1" applyAlignment="1" applyProtection="1">
      <alignment horizontal="center"/>
      <protection hidden="1"/>
    </xf>
    <xf numFmtId="0" fontId="23" fillId="4" borderId="14" xfId="0" applyFont="1" applyFill="1" applyBorder="1" applyAlignment="1" applyProtection="1">
      <alignment horizontal="center"/>
      <protection hidden="1"/>
    </xf>
    <xf numFmtId="0" fontId="23" fillId="4" borderId="15" xfId="0" applyFont="1" applyFill="1" applyBorder="1" applyAlignment="1" applyProtection="1">
      <alignment horizontal="center"/>
      <protection hidden="1"/>
    </xf>
    <xf numFmtId="0" fontId="18" fillId="3" borderId="16" xfId="0" applyFont="1" applyFill="1" applyBorder="1" applyAlignment="1" applyProtection="1">
      <alignment horizontal="center"/>
      <protection hidden="1"/>
    </xf>
    <xf numFmtId="0" fontId="37" fillId="3" borderId="17" xfId="0" applyFont="1" applyFill="1" applyBorder="1" applyAlignment="1" applyProtection="1">
      <alignment/>
      <protection hidden="1"/>
    </xf>
    <xf numFmtId="0" fontId="7" fillId="3" borderId="17" xfId="0" applyFont="1" applyFill="1" applyBorder="1" applyAlignment="1" applyProtection="1">
      <alignment/>
      <protection hidden="1"/>
    </xf>
    <xf numFmtId="0" fontId="19" fillId="3" borderId="18" xfId="0" applyFont="1" applyFill="1" applyBorder="1" applyAlignment="1" applyProtection="1">
      <alignment horizontal="center"/>
      <protection hidden="1"/>
    </xf>
    <xf numFmtId="0" fontId="41" fillId="0" borderId="0" xfId="0" applyFont="1" applyAlignment="1" applyProtection="1">
      <alignment horizontal="right"/>
      <protection hidden="1"/>
    </xf>
    <xf numFmtId="0" fontId="48" fillId="3" borderId="1" xfId="0" applyFont="1" applyFill="1" applyBorder="1" applyAlignment="1" applyProtection="1">
      <alignment horizontal="center"/>
      <protection hidden="1"/>
    </xf>
    <xf numFmtId="0" fontId="43" fillId="3" borderId="1" xfId="0" applyFont="1" applyFill="1" applyBorder="1" applyAlignment="1" applyProtection="1">
      <alignment horizontal="center"/>
      <protection hidden="1"/>
    </xf>
    <xf numFmtId="0" fontId="48" fillId="3" borderId="6" xfId="0" applyFont="1" applyFill="1" applyBorder="1" applyAlignment="1" applyProtection="1">
      <alignment horizontal="right"/>
      <protection hidden="1"/>
    </xf>
    <xf numFmtId="0" fontId="48" fillId="3" borderId="7" xfId="0" applyFont="1" applyFill="1" applyBorder="1" applyAlignment="1" applyProtection="1">
      <alignment horizontal="right"/>
      <protection hidden="1"/>
    </xf>
    <xf numFmtId="0" fontId="19" fillId="3" borderId="10" xfId="0" applyFont="1" applyFill="1" applyBorder="1" applyAlignment="1" applyProtection="1">
      <alignment horizontal="center"/>
      <protection hidden="1"/>
    </xf>
    <xf numFmtId="0" fontId="52" fillId="3" borderId="7" xfId="0" applyFont="1" applyFill="1" applyBorder="1" applyAlignment="1" applyProtection="1">
      <alignment horizontal="right"/>
      <protection hidden="1"/>
    </xf>
    <xf numFmtId="0" fontId="52" fillId="3" borderId="8" xfId="0" applyFont="1" applyFill="1" applyBorder="1" applyAlignment="1" applyProtection="1">
      <alignment horizontal="right"/>
      <protection hidden="1"/>
    </xf>
    <xf numFmtId="0" fontId="43" fillId="3" borderId="10" xfId="0" applyFont="1" applyFill="1" applyBorder="1" applyAlignment="1" applyProtection="1">
      <alignment horizontal="right"/>
      <protection hidden="1"/>
    </xf>
    <xf numFmtId="0" fontId="48" fillId="3" borderId="10" xfId="0" applyFont="1" applyFill="1" applyBorder="1" applyAlignment="1" applyProtection="1">
      <alignment horizontal="right"/>
      <protection hidden="1"/>
    </xf>
    <xf numFmtId="0" fontId="52" fillId="3" borderId="10" xfId="0" applyFont="1" applyFill="1" applyBorder="1" applyAlignment="1" applyProtection="1">
      <alignment horizontal="right"/>
      <protection hidden="1"/>
    </xf>
    <xf numFmtId="0" fontId="8" fillId="3" borderId="10" xfId="0" applyFont="1" applyFill="1" applyBorder="1" applyAlignment="1" applyProtection="1">
      <alignment horizontal="right"/>
      <protection hidden="1"/>
    </xf>
    <xf numFmtId="0" fontId="44" fillId="3" borderId="4" xfId="0" applyFont="1" applyFill="1" applyBorder="1" applyAlignment="1" applyProtection="1">
      <alignment horizontal="right"/>
      <protection hidden="1"/>
    </xf>
    <xf numFmtId="0" fontId="54" fillId="3" borderId="6" xfId="0" applyFont="1" applyFill="1" applyBorder="1" applyAlignment="1" applyProtection="1">
      <alignment horizontal="right"/>
      <protection hidden="1"/>
    </xf>
    <xf numFmtId="0" fontId="54" fillId="3" borderId="7" xfId="0" applyFont="1" applyFill="1" applyBorder="1" applyAlignment="1" applyProtection="1" quotePrefix="1">
      <alignment horizontal="right"/>
      <protection hidden="1"/>
    </xf>
    <xf numFmtId="0" fontId="44" fillId="3" borderId="8" xfId="0" applyFont="1" applyFill="1" applyBorder="1" applyAlignment="1" applyProtection="1">
      <alignment horizontal="right"/>
      <protection hidden="1"/>
    </xf>
    <xf numFmtId="0" fontId="44" fillId="3" borderId="10" xfId="0" applyFont="1" applyFill="1" applyBorder="1" applyAlignment="1" applyProtection="1">
      <alignment horizontal="right"/>
      <protection hidden="1"/>
    </xf>
    <xf numFmtId="0" fontId="54" fillId="3" borderId="4" xfId="0" applyFont="1" applyFill="1" applyBorder="1" applyAlignment="1" applyProtection="1">
      <alignment horizontal="right"/>
      <protection hidden="1"/>
    </xf>
    <xf numFmtId="0" fontId="48" fillId="3" borderId="10" xfId="0" applyFont="1" applyFill="1" applyBorder="1" applyAlignment="1" applyProtection="1">
      <alignment/>
      <protection hidden="1"/>
    </xf>
    <xf numFmtId="0" fontId="48" fillId="3" borderId="16" xfId="0" applyFont="1" applyFill="1" applyBorder="1" applyAlignment="1" applyProtection="1">
      <alignment horizontal="center"/>
      <protection hidden="1"/>
    </xf>
    <xf numFmtId="0" fontId="52" fillId="3" borderId="13" xfId="0" applyFont="1" applyFill="1" applyBorder="1" applyAlignment="1" applyProtection="1">
      <alignment horizontal="right"/>
      <protection hidden="1"/>
    </xf>
    <xf numFmtId="0" fontId="43" fillId="3" borderId="13" xfId="0" applyFont="1" applyFill="1" applyBorder="1" applyAlignment="1" applyProtection="1">
      <alignment horizontal="center"/>
      <protection hidden="1"/>
    </xf>
    <xf numFmtId="0" fontId="48" fillId="3" borderId="1" xfId="0" applyFont="1" applyFill="1" applyBorder="1" applyAlignment="1" applyProtection="1">
      <alignment horizontal="right"/>
      <protection hidden="1"/>
    </xf>
    <xf numFmtId="0" fontId="52" fillId="3" borderId="1" xfId="0" applyFont="1" applyFill="1" applyBorder="1" applyAlignment="1" applyProtection="1">
      <alignment horizontal="right"/>
      <protection hidden="1"/>
    </xf>
    <xf numFmtId="0" fontId="44" fillId="3" borderId="1" xfId="0" applyFont="1" applyFill="1" applyBorder="1" applyAlignment="1" applyProtection="1">
      <alignment horizontal="right"/>
      <protection hidden="1"/>
    </xf>
    <xf numFmtId="0" fontId="48" fillId="3" borderId="1" xfId="0" applyFont="1" applyFill="1" applyBorder="1" applyAlignment="1" applyProtection="1" quotePrefix="1">
      <alignment horizontal="right"/>
      <protection hidden="1"/>
    </xf>
    <xf numFmtId="0" fontId="48" fillId="3" borderId="19" xfId="0" applyFont="1" applyFill="1" applyBorder="1" applyAlignment="1" applyProtection="1">
      <alignment horizontal="right"/>
      <protection hidden="1"/>
    </xf>
    <xf numFmtId="171" fontId="7" fillId="0" borderId="0" xfId="20" applyFont="1" applyAlignment="1" applyProtection="1">
      <alignment/>
      <protection/>
    </xf>
    <xf numFmtId="171" fontId="6" fillId="0" borderId="0" xfId="20" applyFont="1" applyAlignment="1" applyProtection="1">
      <alignment/>
      <protection/>
    </xf>
    <xf numFmtId="0" fontId="52" fillId="3" borderId="10" xfId="0" applyFont="1" applyFill="1" applyBorder="1" applyAlignment="1" applyProtection="1">
      <alignment/>
      <protection hidden="1"/>
    </xf>
    <xf numFmtId="0" fontId="40" fillId="3" borderId="0" xfId="0" applyFont="1" applyFill="1" applyBorder="1" applyAlignment="1" applyProtection="1">
      <alignment horizontal="center"/>
      <protection hidden="1"/>
    </xf>
    <xf numFmtId="0" fontId="35" fillId="3" borderId="12" xfId="0" applyFont="1" applyFill="1" applyBorder="1" applyAlignment="1" applyProtection="1">
      <alignment horizontal="left" vertical="center"/>
      <protection hidden="1"/>
    </xf>
    <xf numFmtId="0" fontId="35" fillId="3" borderId="20" xfId="0" applyFont="1" applyFill="1" applyBorder="1" applyAlignment="1" applyProtection="1">
      <alignment horizontal="left" vertical="center"/>
      <protection hidden="1"/>
    </xf>
    <xf numFmtId="0" fontId="35" fillId="3" borderId="21" xfId="0" applyFont="1" applyFill="1" applyBorder="1" applyAlignment="1" applyProtection="1">
      <alignment horizontal="left" vertical="center"/>
      <protection hidden="1"/>
    </xf>
    <xf numFmtId="0" fontId="35" fillId="3" borderId="5" xfId="0" applyFont="1" applyFill="1" applyBorder="1" applyAlignment="1" applyProtection="1">
      <alignment horizontal="left" vertical="center"/>
      <protection hidden="1"/>
    </xf>
    <xf numFmtId="0" fontId="35" fillId="3" borderId="19" xfId="0" applyFont="1" applyFill="1" applyBorder="1" applyAlignment="1" applyProtection="1">
      <alignment/>
      <protection hidden="1"/>
    </xf>
    <xf numFmtId="0" fontId="35" fillId="3" borderId="19" xfId="0" applyFont="1" applyFill="1" applyBorder="1" applyAlignment="1" applyProtection="1">
      <alignment horizontal="left" vertical="center"/>
      <protection hidden="1"/>
    </xf>
    <xf numFmtId="0" fontId="35" fillId="3" borderId="12" xfId="0" applyFont="1" applyFill="1" applyBorder="1" applyAlignment="1" applyProtection="1">
      <alignment/>
      <protection hidden="1"/>
    </xf>
    <xf numFmtId="0" fontId="35" fillId="3" borderId="20" xfId="0" applyFont="1" applyFill="1" applyBorder="1" applyAlignment="1" applyProtection="1">
      <alignment/>
      <protection hidden="1"/>
    </xf>
    <xf numFmtId="0" fontId="8" fillId="3" borderId="0" xfId="0" applyFont="1" applyFill="1" applyAlignment="1" applyProtection="1">
      <alignment/>
      <protection hidden="1"/>
    </xf>
    <xf numFmtId="0" fontId="29" fillId="2" borderId="0" xfId="0" applyFont="1" applyFill="1" applyAlignment="1" applyProtection="1">
      <alignment/>
      <protection locked="0"/>
    </xf>
    <xf numFmtId="0" fontId="31" fillId="2" borderId="0" xfId="0" applyFont="1" applyFill="1" applyAlignment="1" applyProtection="1">
      <alignment/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59" fillId="3" borderId="0" xfId="0" applyFont="1" applyFill="1" applyBorder="1" applyAlignment="1" applyProtection="1">
      <alignment vertical="center"/>
      <protection hidden="1"/>
    </xf>
    <xf numFmtId="0" fontId="28" fillId="4" borderId="19" xfId="0" applyFont="1" applyFill="1" applyBorder="1" applyAlignment="1" applyProtection="1">
      <alignment/>
      <protection hidden="1"/>
    </xf>
    <xf numFmtId="0" fontId="8" fillId="4" borderId="10" xfId="0" applyFont="1" applyFill="1" applyBorder="1" applyAlignment="1" applyProtection="1">
      <alignment/>
      <protection hidden="1"/>
    </xf>
    <xf numFmtId="0" fontId="8" fillId="3" borderId="19" xfId="0" applyFont="1" applyFill="1" applyBorder="1" applyAlignment="1" applyProtection="1">
      <alignment horizontal="right"/>
      <protection hidden="1"/>
    </xf>
    <xf numFmtId="0" fontId="8" fillId="3" borderId="10" xfId="0" applyFont="1" applyFill="1" applyBorder="1" applyAlignment="1" applyProtection="1">
      <alignment/>
      <protection hidden="1"/>
    </xf>
    <xf numFmtId="0" fontId="8" fillId="3" borderId="12" xfId="0" applyFont="1" applyFill="1" applyBorder="1" applyAlignment="1" applyProtection="1">
      <alignment horizontal="right"/>
      <protection hidden="1"/>
    </xf>
    <xf numFmtId="0" fontId="8" fillId="3" borderId="6" xfId="0" applyFont="1" applyFill="1" applyBorder="1" applyAlignment="1" applyProtection="1">
      <alignment/>
      <protection hidden="1"/>
    </xf>
    <xf numFmtId="0" fontId="50" fillId="3" borderId="1" xfId="0" applyFont="1" applyFill="1" applyBorder="1" applyAlignment="1" applyProtection="1">
      <alignment horizontal="center"/>
      <protection hidden="1"/>
    </xf>
    <xf numFmtId="0" fontId="8" fillId="3" borderId="4" xfId="0" applyFont="1" applyFill="1" applyBorder="1" applyAlignment="1" applyProtection="1">
      <alignment horizontal="left"/>
      <protection hidden="1"/>
    </xf>
    <xf numFmtId="0" fontId="8" fillId="3" borderId="19" xfId="0" applyFont="1" applyFill="1" applyBorder="1" applyAlignment="1" applyProtection="1">
      <alignment/>
      <protection hidden="1"/>
    </xf>
    <xf numFmtId="0" fontId="8" fillId="3" borderId="4" xfId="0" applyFont="1" applyFill="1" applyBorder="1" applyAlignment="1" applyProtection="1">
      <alignment/>
      <protection hidden="1"/>
    </xf>
    <xf numFmtId="0" fontId="8" fillId="3" borderId="10" xfId="0" applyFont="1" applyFill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/>
      <protection hidden="1"/>
    </xf>
    <xf numFmtId="0" fontId="8" fillId="3" borderId="19" xfId="0" applyFont="1" applyFill="1" applyBorder="1" applyAlignment="1" applyProtection="1">
      <alignment horizontal="left"/>
      <protection hidden="1"/>
    </xf>
    <xf numFmtId="0" fontId="0" fillId="3" borderId="1" xfId="0" applyFont="1" applyFill="1" applyBorder="1" applyAlignment="1" applyProtection="1">
      <alignment/>
      <protection hidden="1"/>
    </xf>
    <xf numFmtId="0" fontId="8" fillId="3" borderId="1" xfId="0" applyFont="1" applyFill="1" applyBorder="1" applyAlignment="1" applyProtection="1">
      <alignment/>
      <protection hidden="1"/>
    </xf>
    <xf numFmtId="0" fontId="31" fillId="2" borderId="1" xfId="0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 hidden="1"/>
    </xf>
    <xf numFmtId="0" fontId="8" fillId="3" borderId="22" xfId="0" applyFont="1" applyFill="1" applyBorder="1" applyAlignment="1" applyProtection="1">
      <alignment/>
      <protection hidden="1"/>
    </xf>
    <xf numFmtId="0" fontId="8" fillId="3" borderId="6" xfId="0" applyFont="1" applyFill="1" applyBorder="1" applyAlignment="1" applyProtection="1">
      <alignment horizontal="left"/>
      <protection hidden="1"/>
    </xf>
    <xf numFmtId="0" fontId="23" fillId="4" borderId="23" xfId="0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3" borderId="24" xfId="0" applyFont="1" applyFill="1" applyBorder="1" applyAlignment="1" applyProtection="1">
      <alignment/>
      <protection hidden="1"/>
    </xf>
    <xf numFmtId="0" fontId="23" fillId="4" borderId="23" xfId="0" applyFont="1" applyFill="1" applyBorder="1" applyAlignment="1" applyProtection="1">
      <alignment horizontal="center"/>
      <protection hidden="1"/>
    </xf>
    <xf numFmtId="0" fontId="23" fillId="4" borderId="25" xfId="0" applyFont="1" applyFill="1" applyBorder="1" applyAlignment="1" applyProtection="1">
      <alignment horizontal="center"/>
      <protection hidden="1"/>
    </xf>
    <xf numFmtId="0" fontId="31" fillId="2" borderId="6" xfId="0" applyFont="1" applyFill="1" applyBorder="1" applyAlignment="1" applyProtection="1">
      <alignment horizontal="center"/>
      <protection locked="0"/>
    </xf>
    <xf numFmtId="0" fontId="35" fillId="3" borderId="21" xfId="0" applyFont="1" applyFill="1" applyBorder="1" applyAlignment="1" applyProtection="1">
      <alignment/>
      <protection hidden="1"/>
    </xf>
    <xf numFmtId="0" fontId="10" fillId="3" borderId="19" xfId="0" applyFont="1" applyFill="1" applyBorder="1" applyAlignment="1" applyProtection="1">
      <alignment/>
      <protection hidden="1"/>
    </xf>
    <xf numFmtId="0" fontId="10" fillId="3" borderId="0" xfId="0" applyFont="1" applyFill="1" applyAlignment="1" applyProtection="1">
      <alignment/>
      <protection hidden="1"/>
    </xf>
    <xf numFmtId="0" fontId="10" fillId="3" borderId="12" xfId="0" applyFont="1" applyFill="1" applyBorder="1" applyAlignment="1" applyProtection="1">
      <alignment/>
      <protection hidden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CCFF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1</xdr:col>
      <xdr:colOff>323850</xdr:colOff>
      <xdr:row>4</xdr:row>
      <xdr:rowOff>104775</xdr:rowOff>
    </xdr:to>
    <xdr:pic>
      <xdr:nvPicPr>
        <xdr:cNvPr id="1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8477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257175</xdr:colOff>
      <xdr:row>1</xdr:row>
      <xdr:rowOff>0</xdr:rowOff>
    </xdr:from>
    <xdr:to>
      <xdr:col>12</xdr:col>
      <xdr:colOff>104775</xdr:colOff>
      <xdr:row>4</xdr:row>
      <xdr:rowOff>104775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686050" y="161925"/>
          <a:ext cx="46958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KOEFICIJENT PROLAZA TOPLOTE uzdužno strujanje u omotaču</a:t>
          </a:r>
        </a:p>
      </xdr:txBody>
    </xdr:sp>
    <xdr:clientData/>
  </xdr:twoCellAnchor>
  <xdr:twoCellAnchor>
    <xdr:from>
      <xdr:col>1</xdr:col>
      <xdr:colOff>438150</xdr:colOff>
      <xdr:row>0</xdr:row>
      <xdr:rowOff>66675</xdr:rowOff>
    </xdr:from>
    <xdr:to>
      <xdr:col>4</xdr:col>
      <xdr:colOff>247650</xdr:colOff>
      <xdr:row>4</xdr:row>
      <xdr:rowOff>104775</xdr:rowOff>
    </xdr:to>
    <xdr:sp>
      <xdr:nvSpPr>
        <xdr:cNvPr id="3" name="TextBox 31"/>
        <xdr:cNvSpPr txBox="1">
          <a:spLocks noChangeArrowheads="1"/>
        </xdr:cNvSpPr>
      </xdr:nvSpPr>
      <xdr:spPr>
        <a:xfrm>
          <a:off x="1038225" y="66675"/>
          <a:ext cx="1638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Bahamas YU"/>
              <a:ea typeface="Bahamas YU"/>
              <a:cs typeface="Bahamas YU"/>
            </a:rPr>
            <a:t>Rikalović Milan</a:t>
          </a:r>
          <a:r>
            <a:rPr lang="en-US" cap="none" sz="1000" b="0" i="0" u="none" baseline="0">
              <a:solidFill>
                <a:srgbClr val="0000FF"/>
              </a:solidFill>
              <a:latin typeface="Bahamas Bold YU"/>
              <a:ea typeface="Bahamas Bold YU"/>
              <a:cs typeface="Bahamas Bold YU"/>
            </a:rPr>
            <a:t>
</a:t>
          </a:r>
          <a:r>
            <a:rPr lang="en-US" cap="none" sz="1000" b="0" i="0" u="none" baseline="0">
              <a:solidFill>
                <a:srgbClr val="800080"/>
              </a:solidFill>
              <a:latin typeface="YU L Umrela"/>
              <a:ea typeface="YU L Umrela"/>
              <a:cs typeface="YU L Umrela"/>
            </a:rPr>
            <a:t>DOBOŠASTI RAZMENJIVAČI TOPLOTE
</a:t>
          </a:r>
          <a:r>
            <a:rPr lang="en-US" cap="none" sz="1000" b="0" i="0" u="none" baseline="0">
              <a:solidFill>
                <a:srgbClr val="0000FF"/>
              </a:solidFill>
              <a:latin typeface="Yu Helvetica"/>
              <a:ea typeface="Yu Helvetica"/>
              <a:cs typeface="Yu Helvetica"/>
            </a:rPr>
            <a:t>EXCELOVA PODRŠKA</a:t>
          </a:r>
          <a:r>
            <a:rPr lang="en-US" cap="none" sz="1000" b="0" i="0" u="none" baseline="0">
              <a:solidFill>
                <a:srgbClr val="800080"/>
              </a:solidFill>
              <a:latin typeface="Yu Helvetica"/>
              <a:ea typeface="Yu Helvetica"/>
              <a:cs typeface="Yu Helvetica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showGridLines="0" tabSelected="1" workbookViewId="0" topLeftCell="A1">
      <selection activeCell="S8" sqref="S8"/>
    </sheetView>
  </sheetViews>
  <sheetFormatPr defaultColWidth="9.140625" defaultRowHeight="12.75"/>
  <cols>
    <col min="1" max="2" width="9.00390625" style="6" customWidth="1"/>
    <col min="3" max="3" width="9.7109375" style="6" customWidth="1"/>
    <col min="4" max="4" width="8.7109375" style="6" customWidth="1"/>
    <col min="5" max="7" width="9.00390625" style="6" customWidth="1"/>
    <col min="8" max="8" width="9.7109375" style="6" customWidth="1"/>
    <col min="9" max="13" width="9.00390625" style="6" customWidth="1"/>
    <col min="14" max="16384" width="9.140625" style="6" customWidth="1"/>
  </cols>
  <sheetData>
    <row r="1" ht="12.75" customHeight="1">
      <c r="M1" s="75" t="e">
        <f>#REF!</f>
        <v>#REF!</v>
      </c>
    </row>
    <row r="2" ht="12.75" customHeight="1"/>
    <row r="3" ht="12.75" customHeight="1"/>
    <row r="4" ht="12.75" customHeight="1"/>
    <row r="5" ht="12.75" customHeight="1"/>
    <row r="6" spans="1:13" ht="15.75" customHeight="1">
      <c r="A6" s="22"/>
      <c r="B6" s="22"/>
      <c r="C6" s="10" t="s">
        <v>5</v>
      </c>
      <c r="D6" s="114" t="s">
        <v>130</v>
      </c>
      <c r="E6" s="23"/>
      <c r="F6" s="23"/>
      <c r="G6" s="23"/>
      <c r="H6" s="23"/>
      <c r="I6" s="23"/>
      <c r="J6" s="23"/>
      <c r="K6" s="22"/>
      <c r="L6" s="22"/>
      <c r="M6" s="22"/>
    </row>
    <row r="7" spans="1:13" ht="18" customHeight="1">
      <c r="A7" s="106" t="s">
        <v>128</v>
      </c>
      <c r="B7" s="12"/>
      <c r="C7" s="13"/>
      <c r="D7" s="24"/>
      <c r="E7" s="91" t="s">
        <v>62</v>
      </c>
      <c r="F7" s="4">
        <v>0.49</v>
      </c>
      <c r="G7" s="22"/>
      <c r="H7" s="106" t="s">
        <v>2</v>
      </c>
      <c r="I7" s="12"/>
      <c r="J7" s="13"/>
      <c r="K7" s="25"/>
      <c r="L7" s="84" t="s">
        <v>59</v>
      </c>
      <c r="M7" s="3">
        <v>6</v>
      </c>
    </row>
    <row r="8" spans="1:13" ht="18" customHeight="1">
      <c r="A8" s="106" t="s">
        <v>16</v>
      </c>
      <c r="B8" s="12"/>
      <c r="C8" s="13"/>
      <c r="D8" s="24"/>
      <c r="E8" s="91" t="s">
        <v>64</v>
      </c>
      <c r="F8" s="4">
        <v>0.003</v>
      </c>
      <c r="G8" s="22"/>
      <c r="H8" s="107" t="s">
        <v>126</v>
      </c>
      <c r="I8" s="19"/>
      <c r="J8" s="20"/>
      <c r="K8" s="26"/>
      <c r="L8" s="84" t="s">
        <v>60</v>
      </c>
      <c r="M8" s="3">
        <v>2</v>
      </c>
    </row>
    <row r="9" spans="1:13" ht="18" customHeight="1">
      <c r="A9" s="112" t="s">
        <v>129</v>
      </c>
      <c r="B9" s="27"/>
      <c r="C9" s="27"/>
      <c r="D9" s="145" t="s">
        <v>4</v>
      </c>
      <c r="E9" s="84" t="s">
        <v>105</v>
      </c>
      <c r="F9" s="4">
        <v>0.018</v>
      </c>
      <c r="G9" s="22"/>
      <c r="H9" s="106" t="s">
        <v>146</v>
      </c>
      <c r="I9" s="12"/>
      <c r="J9" s="13"/>
      <c r="K9" s="25"/>
      <c r="L9" s="84" t="s">
        <v>106</v>
      </c>
      <c r="M9" s="3">
        <v>2.6</v>
      </c>
    </row>
    <row r="10" spans="1:13" ht="18" customHeight="1">
      <c r="A10" s="113" t="s">
        <v>3</v>
      </c>
      <c r="B10" s="28"/>
      <c r="C10" s="28"/>
      <c r="D10" s="29"/>
      <c r="E10" s="84" t="s">
        <v>63</v>
      </c>
      <c r="F10" s="4">
        <v>0.001</v>
      </c>
      <c r="G10" s="22"/>
      <c r="H10" s="146" t="s">
        <v>147</v>
      </c>
      <c r="I10" s="30"/>
      <c r="J10" s="30"/>
      <c r="K10" s="31"/>
      <c r="L10" s="99" t="s">
        <v>107</v>
      </c>
      <c r="M10" s="32">
        <f>ROUND((F7-F9-F7/100)/2,3)</f>
        <v>0.234</v>
      </c>
    </row>
    <row r="11" spans="1:13" ht="18" customHeight="1">
      <c r="A11" s="108" t="s">
        <v>145</v>
      </c>
      <c r="B11" s="17"/>
      <c r="C11" s="18"/>
      <c r="D11" s="31"/>
      <c r="E11" s="84" t="s">
        <v>108</v>
      </c>
      <c r="F11" s="33">
        <f>F9-2*F10</f>
        <v>0.016</v>
      </c>
      <c r="G11" s="22"/>
      <c r="H11" s="113" t="s">
        <v>148</v>
      </c>
      <c r="I11" s="28"/>
      <c r="J11" s="28"/>
      <c r="K11" s="29"/>
      <c r="L11" s="84" t="s">
        <v>66</v>
      </c>
      <c r="M11" s="32">
        <f>F12*F11^2*PI()/4</f>
        <v>0.05267822561539365</v>
      </c>
    </row>
    <row r="12" spans="1:13" ht="18" customHeight="1">
      <c r="A12" s="109" t="s">
        <v>127</v>
      </c>
      <c r="B12" s="17"/>
      <c r="C12" s="18"/>
      <c r="D12" s="34"/>
      <c r="E12" s="99" t="s">
        <v>61</v>
      </c>
      <c r="F12" s="3">
        <v>262</v>
      </c>
      <c r="G12" s="22"/>
      <c r="H12" s="108" t="s">
        <v>149</v>
      </c>
      <c r="I12" s="17"/>
      <c r="J12" s="18"/>
      <c r="K12" s="31"/>
      <c r="L12" s="84" t="s">
        <v>65</v>
      </c>
      <c r="M12" s="33">
        <f>PI()*(F7^2-F12*F9^2)/4-IF(M8=1,0,F7*F8*M8/2)</f>
        <v>0.12043321973724473</v>
      </c>
    </row>
    <row r="13" spans="1:13" ht="16.5" customHeight="1">
      <c r="A13" s="22"/>
      <c r="B13" s="22"/>
      <c r="C13" s="22"/>
      <c r="D13" s="22"/>
      <c r="E13" s="22"/>
      <c r="F13" s="22"/>
      <c r="G13" s="22"/>
      <c r="H13" s="110" t="s">
        <v>150</v>
      </c>
      <c r="I13" s="35"/>
      <c r="J13" s="35"/>
      <c r="K13" s="36"/>
      <c r="L13" s="84" t="s">
        <v>67</v>
      </c>
      <c r="M13" s="37">
        <f>4*M12/((F7+F12*F9)*PI()+IF(M8=1,0,M8*F7))</f>
        <v>0.027789398828031858</v>
      </c>
    </row>
    <row r="14" spans="1:13" ht="15.75">
      <c r="A14" s="38"/>
      <c r="B14" s="39"/>
      <c r="C14" s="118"/>
      <c r="D14" s="114" t="s">
        <v>57</v>
      </c>
      <c r="E14" s="40"/>
      <c r="F14" s="41"/>
      <c r="G14" s="23"/>
      <c r="H14" s="23"/>
      <c r="I14" s="22"/>
      <c r="J14" s="22"/>
      <c r="K14" s="22"/>
      <c r="L14" s="22"/>
      <c r="M14" s="22"/>
    </row>
    <row r="15" spans="1:13" ht="15">
      <c r="A15" s="22"/>
      <c r="B15" s="22"/>
      <c r="C15" s="117" t="s">
        <v>6</v>
      </c>
      <c r="D15" s="114" t="s">
        <v>151</v>
      </c>
      <c r="E15" s="23"/>
      <c r="F15" s="23"/>
      <c r="G15" s="23"/>
      <c r="H15" s="23"/>
      <c r="I15" s="22"/>
      <c r="J15" s="22"/>
      <c r="K15" s="22"/>
      <c r="L15" s="22"/>
      <c r="M15" s="22"/>
    </row>
    <row r="16" spans="1:13" ht="18" customHeight="1">
      <c r="A16" s="114" t="s">
        <v>7</v>
      </c>
      <c r="B16" s="23"/>
      <c r="C16" s="23"/>
      <c r="D16" s="115" t="s">
        <v>27</v>
      </c>
      <c r="E16" s="116"/>
      <c r="F16" s="115" t="s">
        <v>0</v>
      </c>
      <c r="G16" s="22"/>
      <c r="H16" s="114" t="s">
        <v>152</v>
      </c>
      <c r="I16" s="23"/>
      <c r="J16" s="23"/>
      <c r="K16" s="115" t="s">
        <v>55</v>
      </c>
      <c r="L16" s="42"/>
      <c r="M16" s="43" t="str">
        <f>IF(F16="PRIMAR","SEKUNDAR",IF(F16="SEKUNDAR","PRIMAR,",""))</f>
        <v>SEKUNDAR</v>
      </c>
    </row>
    <row r="17" spans="1:13" ht="18" customHeight="1">
      <c r="A17" s="106" t="s">
        <v>8</v>
      </c>
      <c r="B17" s="12"/>
      <c r="C17" s="13"/>
      <c r="D17" s="78" t="s">
        <v>68</v>
      </c>
      <c r="E17" s="44" t="s">
        <v>9</v>
      </c>
      <c r="F17" s="1">
        <v>2800</v>
      </c>
      <c r="G17" s="22"/>
      <c r="H17" s="106" t="s">
        <v>8</v>
      </c>
      <c r="I17" s="12"/>
      <c r="J17" s="45">
        <f>M17/M20</f>
        <v>5300</v>
      </c>
      <c r="K17" s="78" t="s">
        <v>76</v>
      </c>
      <c r="L17" s="44" t="s">
        <v>9</v>
      </c>
      <c r="M17" s="1">
        <f>5300*M20</f>
        <v>5978.4</v>
      </c>
    </row>
    <row r="18" spans="1:13" ht="18" customHeight="1">
      <c r="A18" s="107" t="s">
        <v>10</v>
      </c>
      <c r="B18" s="19"/>
      <c r="C18" s="20"/>
      <c r="D18" s="79" t="s">
        <v>69</v>
      </c>
      <c r="E18" s="44" t="s">
        <v>12</v>
      </c>
      <c r="F18" s="1">
        <v>100</v>
      </c>
      <c r="G18" s="22"/>
      <c r="H18" s="107" t="s">
        <v>10</v>
      </c>
      <c r="I18" s="19"/>
      <c r="J18" s="20"/>
      <c r="K18" s="79" t="s">
        <v>77</v>
      </c>
      <c r="L18" s="44" t="s">
        <v>12</v>
      </c>
      <c r="M18" s="1">
        <v>40</v>
      </c>
    </row>
    <row r="19" spans="1:13" ht="18" customHeight="1">
      <c r="A19" s="106" t="s">
        <v>131</v>
      </c>
      <c r="B19" s="12"/>
      <c r="C19" s="13"/>
      <c r="D19" s="78" t="s">
        <v>72</v>
      </c>
      <c r="E19" s="44" t="s">
        <v>70</v>
      </c>
      <c r="F19" s="1">
        <v>2.185</v>
      </c>
      <c r="G19" s="22"/>
      <c r="H19" s="106" t="s">
        <v>131</v>
      </c>
      <c r="I19" s="12"/>
      <c r="J19" s="13"/>
      <c r="K19" s="78" t="s">
        <v>72</v>
      </c>
      <c r="L19" s="44" t="s">
        <v>70</v>
      </c>
      <c r="M19" s="1">
        <v>1.005</v>
      </c>
    </row>
    <row r="20" spans="1:13" ht="18" customHeight="1">
      <c r="A20" s="107" t="s">
        <v>132</v>
      </c>
      <c r="B20" s="19"/>
      <c r="C20" s="20"/>
      <c r="D20" s="81" t="s">
        <v>11</v>
      </c>
      <c r="E20" s="44" t="s">
        <v>13</v>
      </c>
      <c r="F20" s="1">
        <v>520</v>
      </c>
      <c r="G20" s="22"/>
      <c r="H20" s="107" t="s">
        <v>132</v>
      </c>
      <c r="I20" s="19"/>
      <c r="J20" s="20"/>
      <c r="K20" s="81" t="s">
        <v>11</v>
      </c>
      <c r="L20" s="44" t="s">
        <v>13</v>
      </c>
      <c r="M20" s="1">
        <v>1.128</v>
      </c>
    </row>
    <row r="21" spans="1:13" ht="18" customHeight="1">
      <c r="A21" s="107" t="s">
        <v>133</v>
      </c>
      <c r="B21" s="19"/>
      <c r="C21" s="20"/>
      <c r="D21" s="81" t="s">
        <v>1</v>
      </c>
      <c r="E21" s="44" t="s">
        <v>15</v>
      </c>
      <c r="F21" s="2">
        <f>2*10^-3/F20</f>
        <v>3.846153846153846E-06</v>
      </c>
      <c r="G21" s="22"/>
      <c r="H21" s="107" t="s">
        <v>133</v>
      </c>
      <c r="I21" s="19"/>
      <c r="J21" s="20"/>
      <c r="K21" s="81" t="s">
        <v>1</v>
      </c>
      <c r="L21" s="44" t="s">
        <v>15</v>
      </c>
      <c r="M21" s="2">
        <f>0.0191*10^-3/M20</f>
        <v>1.6932624113475178E-05</v>
      </c>
    </row>
    <row r="22" spans="1:13" ht="18" customHeight="1">
      <c r="A22" s="108" t="s">
        <v>134</v>
      </c>
      <c r="B22" s="17"/>
      <c r="C22" s="18"/>
      <c r="D22" s="82" t="s">
        <v>14</v>
      </c>
      <c r="E22" s="80" t="s">
        <v>71</v>
      </c>
      <c r="F22" s="1">
        <f>0.14*10^-3</f>
        <v>0.00014000000000000001</v>
      </c>
      <c r="G22" s="22"/>
      <c r="H22" s="108" t="s">
        <v>134</v>
      </c>
      <c r="I22" s="17"/>
      <c r="J22" s="18"/>
      <c r="K22" s="82" t="s">
        <v>14</v>
      </c>
      <c r="L22" s="80" t="s">
        <v>71</v>
      </c>
      <c r="M22" s="1">
        <v>2.76E-05</v>
      </c>
    </row>
    <row r="23" spans="1:13" ht="18" customHeight="1">
      <c r="A23" s="106" t="s">
        <v>26</v>
      </c>
      <c r="B23" s="12"/>
      <c r="C23" s="13"/>
      <c r="D23" s="100" t="s">
        <v>73</v>
      </c>
      <c r="E23" s="46">
        <f>ROUND(F18-M57*F9*(F18-M18)/(F56*F11),2)</f>
        <v>59.42</v>
      </c>
      <c r="F23" s="3">
        <f>E23</f>
        <v>59.42</v>
      </c>
      <c r="G23" s="22"/>
      <c r="H23" s="106" t="s">
        <v>53</v>
      </c>
      <c r="I23" s="12"/>
      <c r="J23" s="13"/>
      <c r="K23" s="100" t="s">
        <v>75</v>
      </c>
      <c r="L23" s="46">
        <f>ROUND(M18+M57*(F18-M18)/(M56),2)</f>
        <v>58.88</v>
      </c>
      <c r="M23" s="3">
        <f>L23</f>
        <v>58.88</v>
      </c>
    </row>
    <row r="24" spans="1:13" ht="18" customHeight="1">
      <c r="A24" s="108" t="s">
        <v>135</v>
      </c>
      <c r="B24" s="17"/>
      <c r="C24" s="18"/>
      <c r="D24" s="82" t="s">
        <v>74</v>
      </c>
      <c r="E24" s="44" t="s">
        <v>15</v>
      </c>
      <c r="F24" s="2">
        <f>4.17*10^-3</f>
        <v>0.00417</v>
      </c>
      <c r="G24" s="22"/>
      <c r="H24" s="108" t="s">
        <v>135</v>
      </c>
      <c r="I24" s="17"/>
      <c r="J24" s="18"/>
      <c r="K24" s="82" t="s">
        <v>74</v>
      </c>
      <c r="L24" s="44" t="s">
        <v>15</v>
      </c>
      <c r="M24" s="2">
        <f>0.0198*10^-3</f>
        <v>1.9800000000000004E-05</v>
      </c>
    </row>
    <row r="25" spans="1:13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5">
      <c r="A26" s="22"/>
      <c r="B26" s="22"/>
      <c r="C26" s="117" t="s">
        <v>17</v>
      </c>
      <c r="D26" s="114" t="s">
        <v>18</v>
      </c>
      <c r="E26" s="23"/>
      <c r="F26" s="23"/>
      <c r="G26" s="23"/>
      <c r="H26" s="23"/>
      <c r="I26" s="47"/>
      <c r="J26" s="21"/>
      <c r="K26" s="21"/>
      <c r="L26" s="22"/>
      <c r="M26" s="22"/>
    </row>
    <row r="27" spans="1:13" ht="18" customHeight="1">
      <c r="A27" s="111" t="s">
        <v>19</v>
      </c>
      <c r="B27" s="14"/>
      <c r="C27" s="15"/>
      <c r="D27" s="92" t="s">
        <v>78</v>
      </c>
      <c r="E27" s="16" t="s">
        <v>71</v>
      </c>
      <c r="F27" s="5">
        <v>0.389</v>
      </c>
      <c r="G27" s="22"/>
      <c r="H27" s="111" t="s">
        <v>20</v>
      </c>
      <c r="I27" s="14"/>
      <c r="J27" s="15"/>
      <c r="K27" s="87" t="s">
        <v>87</v>
      </c>
      <c r="L27" s="16" t="s">
        <v>58</v>
      </c>
      <c r="M27" s="48">
        <f>ROUND(LN(F9/F11)*F9/(2*F27),3)</f>
        <v>0.003</v>
      </c>
    </row>
    <row r="28" spans="1:13" ht="18" customHeight="1">
      <c r="A28" s="106" t="s">
        <v>21</v>
      </c>
      <c r="B28" s="12"/>
      <c r="C28" s="13"/>
      <c r="D28" s="88" t="s">
        <v>79</v>
      </c>
      <c r="E28" s="16" t="s">
        <v>71</v>
      </c>
      <c r="F28" s="5">
        <v>0.0023</v>
      </c>
      <c r="G28" s="22"/>
      <c r="H28" s="106" t="s">
        <v>22</v>
      </c>
      <c r="I28" s="12"/>
      <c r="J28" s="13"/>
      <c r="K28" s="88" t="s">
        <v>83</v>
      </c>
      <c r="L28" s="16" t="s">
        <v>71</v>
      </c>
      <c r="M28" s="5">
        <v>0.0023</v>
      </c>
    </row>
    <row r="29" spans="1:13" ht="18" customHeight="1">
      <c r="A29" s="107" t="s">
        <v>24</v>
      </c>
      <c r="B29" s="28"/>
      <c r="C29" s="28"/>
      <c r="D29" s="89" t="s">
        <v>80</v>
      </c>
      <c r="E29" s="11" t="s">
        <v>93</v>
      </c>
      <c r="F29" s="5">
        <v>0.00025</v>
      </c>
      <c r="G29" s="22"/>
      <c r="H29" s="107" t="s">
        <v>155</v>
      </c>
      <c r="I29" s="28"/>
      <c r="J29" s="28"/>
      <c r="K29" s="89" t="s">
        <v>84</v>
      </c>
      <c r="L29" s="11" t="s">
        <v>93</v>
      </c>
      <c r="M29" s="5">
        <v>0.00025</v>
      </c>
    </row>
    <row r="30" spans="1:13" ht="18" customHeight="1">
      <c r="A30" s="108" t="s">
        <v>23</v>
      </c>
      <c r="B30" s="17"/>
      <c r="C30" s="18"/>
      <c r="D30" s="90" t="s">
        <v>81</v>
      </c>
      <c r="E30" s="16" t="s">
        <v>58</v>
      </c>
      <c r="F30" s="49">
        <f>ROUND(F29/M28,3)</f>
        <v>0.109</v>
      </c>
      <c r="G30" s="22"/>
      <c r="H30" s="108" t="s">
        <v>25</v>
      </c>
      <c r="I30" s="17"/>
      <c r="J30" s="18"/>
      <c r="K30" s="90" t="s">
        <v>85</v>
      </c>
      <c r="L30" s="16" t="s">
        <v>58</v>
      </c>
      <c r="M30" s="49">
        <f>ROUND(M29/M28,3)</f>
        <v>0.109</v>
      </c>
    </row>
    <row r="31" spans="1:13" ht="18" customHeight="1">
      <c r="A31" s="111" t="s">
        <v>23</v>
      </c>
      <c r="B31" s="14"/>
      <c r="C31" s="15"/>
      <c r="D31" s="91" t="s">
        <v>82</v>
      </c>
      <c r="E31" s="16" t="s">
        <v>58</v>
      </c>
      <c r="F31" s="5">
        <v>0.2</v>
      </c>
      <c r="G31" s="22"/>
      <c r="H31" s="111" t="s">
        <v>25</v>
      </c>
      <c r="I31" s="14"/>
      <c r="J31" s="15"/>
      <c r="K31" s="91" t="s">
        <v>86</v>
      </c>
      <c r="L31" s="16" t="s">
        <v>58</v>
      </c>
      <c r="M31" s="5">
        <v>0.1</v>
      </c>
    </row>
    <row r="32" spans="1:13" ht="15">
      <c r="A32" s="22"/>
      <c r="B32" s="22"/>
      <c r="C32" s="22"/>
      <c r="D32" s="22"/>
      <c r="E32" s="22"/>
      <c r="F32" s="22"/>
      <c r="H32" s="22"/>
      <c r="I32" s="22"/>
      <c r="J32" s="22"/>
      <c r="K32" s="22"/>
      <c r="L32" s="22"/>
      <c r="M32" s="22"/>
    </row>
    <row r="33" spans="1:13" ht="15.75">
      <c r="A33" s="22"/>
      <c r="B33" s="22"/>
      <c r="C33" s="117" t="s">
        <v>29</v>
      </c>
      <c r="D33" s="114" t="s">
        <v>124</v>
      </c>
      <c r="E33" s="23"/>
      <c r="F33" s="23"/>
      <c r="G33" s="23"/>
      <c r="H33" s="23"/>
      <c r="I33" s="23"/>
      <c r="J33" s="105" t="s">
        <v>123</v>
      </c>
      <c r="K33" s="23"/>
      <c r="L33" s="22"/>
      <c r="M33" s="22"/>
    </row>
    <row r="34" spans="1:13" ht="18" customHeight="1">
      <c r="A34" s="111" t="s">
        <v>30</v>
      </c>
      <c r="B34" s="14"/>
      <c r="C34" s="15"/>
      <c r="D34" s="85" t="s">
        <v>88</v>
      </c>
      <c r="E34" s="54" t="s">
        <v>92</v>
      </c>
      <c r="F34" s="50">
        <f>ROUND(M7*F17/(3600*F20*M11),3)</f>
        <v>0.17</v>
      </c>
      <c r="G34" s="22"/>
      <c r="H34" s="111" t="s">
        <v>156</v>
      </c>
      <c r="I34" s="14"/>
      <c r="J34" s="15"/>
      <c r="K34" s="85" t="s">
        <v>95</v>
      </c>
      <c r="L34" s="54" t="s">
        <v>92</v>
      </c>
      <c r="M34" s="50">
        <f>ROUND(M8*M17/(3600*M20*M12),3)</f>
        <v>24.449</v>
      </c>
    </row>
    <row r="35" spans="1:13" ht="18" customHeight="1">
      <c r="A35" s="111" t="s">
        <v>35</v>
      </c>
      <c r="B35" s="14"/>
      <c r="C35" s="15"/>
      <c r="D35" s="83" t="s">
        <v>89</v>
      </c>
      <c r="E35" s="54" t="s">
        <v>112</v>
      </c>
      <c r="F35" s="51">
        <f>ROUND(F34*F11/F21,0)</f>
        <v>707</v>
      </c>
      <c r="G35" s="22"/>
      <c r="H35" s="111" t="s">
        <v>157</v>
      </c>
      <c r="I35" s="14"/>
      <c r="J35" s="15"/>
      <c r="K35" s="83" t="s">
        <v>96</v>
      </c>
      <c r="L35" s="54" t="s">
        <v>112</v>
      </c>
      <c r="M35" s="51">
        <f>ROUND(M34*M13/M21,0)</f>
        <v>40125</v>
      </c>
    </row>
    <row r="36" spans="1:13" ht="18" customHeight="1">
      <c r="A36" s="111" t="s">
        <v>125</v>
      </c>
      <c r="B36" s="14"/>
      <c r="C36" s="15"/>
      <c r="D36" s="83" t="s">
        <v>90</v>
      </c>
      <c r="E36" s="54" t="s">
        <v>112</v>
      </c>
      <c r="F36" s="52">
        <f>F19*F20*F21/F22</f>
        <v>31.214285714285708</v>
      </c>
      <c r="G36" s="22"/>
      <c r="H36" s="111" t="s">
        <v>158</v>
      </c>
      <c r="I36" s="14"/>
      <c r="J36" s="15"/>
      <c r="K36" s="83" t="s">
        <v>97</v>
      </c>
      <c r="L36" s="54" t="s">
        <v>112</v>
      </c>
      <c r="M36" s="52">
        <f>M19*M20*M21/M22</f>
        <v>0.6954891304347824</v>
      </c>
    </row>
    <row r="37" spans="1:13" ht="18" customHeight="1">
      <c r="A37" s="111" t="s">
        <v>153</v>
      </c>
      <c r="B37" s="14"/>
      <c r="C37" s="15"/>
      <c r="D37" s="84" t="s">
        <v>91</v>
      </c>
      <c r="E37" s="54" t="s">
        <v>94</v>
      </c>
      <c r="F37" s="53">
        <f>M7*(M9+M10*PI()/2)</f>
        <v>17.805398042820034</v>
      </c>
      <c r="G37" s="22"/>
      <c r="H37" s="111" t="s">
        <v>154</v>
      </c>
      <c r="I37" s="14"/>
      <c r="J37" s="15"/>
      <c r="K37" s="84" t="s">
        <v>98</v>
      </c>
      <c r="L37" s="54" t="s">
        <v>94</v>
      </c>
      <c r="M37" s="53">
        <f>M8*(M9+M10*PI()/2)</f>
        <v>5.935132680940011</v>
      </c>
    </row>
    <row r="38" spans="1:13" ht="18" customHeight="1">
      <c r="A38" s="111" t="s">
        <v>31</v>
      </c>
      <c r="B38" s="14"/>
      <c r="C38" s="15"/>
      <c r="D38" s="36"/>
      <c r="E38" s="97" t="s">
        <v>113</v>
      </c>
      <c r="F38" s="53">
        <f>1+(F11/F37)^(2/3)</f>
        <v>1.0093120549601504</v>
      </c>
      <c r="G38" s="22"/>
      <c r="H38" s="111" t="s">
        <v>31</v>
      </c>
      <c r="I38" s="14"/>
      <c r="J38" s="15"/>
      <c r="K38" s="36"/>
      <c r="L38" s="97" t="s">
        <v>117</v>
      </c>
      <c r="M38" s="53">
        <f>1+(M13/M37)^(2/3)</f>
        <v>1.0279876099717509</v>
      </c>
    </row>
    <row r="39" spans="1:13" ht="18" customHeight="1">
      <c r="A39" s="111" t="s">
        <v>32</v>
      </c>
      <c r="B39" s="14"/>
      <c r="C39" s="15"/>
      <c r="D39" s="36"/>
      <c r="E39" s="97" t="s">
        <v>114</v>
      </c>
      <c r="F39" s="53">
        <f>IF(D16="GAS",IF(F35&lt;2300,1,((F18+273.16)/(F23+273.16))^0.36),(F20*F21/(F24))^0.14)</f>
        <v>0.9022463871493316</v>
      </c>
      <c r="G39" s="22"/>
      <c r="H39" s="111" t="s">
        <v>32</v>
      </c>
      <c r="I39" s="14"/>
      <c r="J39" s="15"/>
      <c r="K39" s="36"/>
      <c r="L39" s="97" t="s">
        <v>118</v>
      </c>
      <c r="M39" s="53">
        <f>IF(K16="GAS",IF(M35&lt;2300,1,((M18+273.16)/(M23+273.16))^0.36),(M20*M21/(M24))^0.14)</f>
        <v>0.979145689852215</v>
      </c>
    </row>
    <row r="40" spans="1:13" ht="18" customHeight="1">
      <c r="A40" s="111" t="s">
        <v>136</v>
      </c>
      <c r="B40" s="14"/>
      <c r="C40" s="15"/>
      <c r="D40" s="86"/>
      <c r="E40" s="101" t="s">
        <v>115</v>
      </c>
      <c r="F40" s="51">
        <f>F35*F36*F11/F37</f>
        <v>19.830840015530274</v>
      </c>
      <c r="G40" s="22"/>
      <c r="H40" s="111" t="s">
        <v>136</v>
      </c>
      <c r="I40" s="14"/>
      <c r="J40" s="15"/>
      <c r="K40" s="86"/>
      <c r="L40" s="101" t="s">
        <v>119</v>
      </c>
      <c r="M40" s="51">
        <f>M35*M36*M13/M37</f>
        <v>130.66344727932537</v>
      </c>
    </row>
    <row r="41" spans="1:13" ht="18" customHeight="1">
      <c r="A41" s="111" t="s">
        <v>33</v>
      </c>
      <c r="B41" s="14"/>
      <c r="C41" s="15"/>
      <c r="D41" s="86"/>
      <c r="E41" s="98" t="s">
        <v>116</v>
      </c>
      <c r="F41" s="55">
        <f>(1.82*LOG(F35)-1.64)^(-2)</f>
        <v>0.0795309954025248</v>
      </c>
      <c r="G41" s="22"/>
      <c r="H41" s="111" t="s">
        <v>159</v>
      </c>
      <c r="I41" s="14"/>
      <c r="J41" s="15"/>
      <c r="K41" s="86"/>
      <c r="L41" s="98" t="s">
        <v>120</v>
      </c>
      <c r="M41" s="55">
        <f>(1.82*LOG(M35)-1.64)^(-2)</f>
        <v>0.022024711198560216</v>
      </c>
    </row>
    <row r="42" spans="1:13" ht="15">
      <c r="A42" s="22"/>
      <c r="B42" s="22"/>
      <c r="C42" s="114" t="s">
        <v>34</v>
      </c>
      <c r="D42" s="114"/>
      <c r="E42" s="119" t="str">
        <f>IF(F35&lt;=2300,"LAMINARNO",IF(F35&gt;4000,"TURBULENTNO","PRELAZNO"))</f>
        <v>LAMINARNO</v>
      </c>
      <c r="F42" s="120"/>
      <c r="G42" s="22"/>
      <c r="H42" s="22"/>
      <c r="I42" s="22"/>
      <c r="J42" s="114" t="s">
        <v>34</v>
      </c>
      <c r="K42" s="114"/>
      <c r="L42" s="119" t="str">
        <f>IF(M35&lt;=2300,"LAMINARNO",IF(M35&gt;4000,"TURBULENTNO","PRELAZNO"))</f>
        <v>TURBULENTNO</v>
      </c>
      <c r="M42" s="120"/>
    </row>
    <row r="43" spans="1:13" ht="16.5" customHeight="1">
      <c r="A43" s="117" t="s">
        <v>48</v>
      </c>
      <c r="B43" s="121" t="s">
        <v>52</v>
      </c>
      <c r="C43" s="122"/>
      <c r="D43" s="123" t="s">
        <v>36</v>
      </c>
      <c r="E43" s="124"/>
      <c r="F43" s="123" t="s">
        <v>28</v>
      </c>
      <c r="G43" s="124"/>
      <c r="H43" s="125" t="s">
        <v>37</v>
      </c>
      <c r="I43" s="148" t="s">
        <v>39</v>
      </c>
      <c r="J43" s="23"/>
      <c r="K43" s="23"/>
      <c r="L43" s="77" t="s">
        <v>121</v>
      </c>
      <c r="M43" s="77" t="s">
        <v>122</v>
      </c>
    </row>
    <row r="44" spans="1:13" ht="16.5" customHeight="1">
      <c r="A44" s="58">
        <v>1</v>
      </c>
      <c r="B44" s="121" t="s">
        <v>41</v>
      </c>
      <c r="C44" s="126">
        <v>2300</v>
      </c>
      <c r="D44" s="147" t="s">
        <v>160</v>
      </c>
      <c r="E44" s="128"/>
      <c r="F44" s="128"/>
      <c r="G44" s="122"/>
      <c r="H44" s="93" t="s">
        <v>101</v>
      </c>
      <c r="I44" s="147" t="s">
        <v>38</v>
      </c>
      <c r="J44" s="35"/>
      <c r="K44" s="56"/>
      <c r="L44" s="50">
        <f>IF(F35&gt;2300,"SOS",(3.657+0.19*F40^0.8/(1+0.117*F40^0.467))*F39)</f>
        <v>4.570121530786229</v>
      </c>
      <c r="M44" s="50" t="str">
        <f>IF(M35&gt;2300,"SOS",(3.657+0.19*M40^0.8/(1+0.117*M40^0.467))*M39)</f>
        <v>SOS</v>
      </c>
    </row>
    <row r="45" spans="1:13" ht="16.5" customHeight="1">
      <c r="A45" s="58">
        <v>2</v>
      </c>
      <c r="B45" s="121" t="s">
        <v>41</v>
      </c>
      <c r="C45" s="129">
        <v>2300</v>
      </c>
      <c r="D45" s="147" t="s">
        <v>160</v>
      </c>
      <c r="E45" s="128"/>
      <c r="F45" s="128"/>
      <c r="G45" s="122"/>
      <c r="H45" s="134" t="s">
        <v>40</v>
      </c>
      <c r="I45" s="147" t="s">
        <v>142</v>
      </c>
      <c r="J45" s="35"/>
      <c r="K45" s="56"/>
      <c r="L45" s="50">
        <f>IF(F35&gt;2300,"SOS",IF(F40&gt;=33.3,1.953*F39*F40^(1/3),(4.364+0.0722*F40)*F39))</f>
        <v>5.229227564858011</v>
      </c>
      <c r="M45" s="50" t="str">
        <f>IF(M35&gt;2300,"SOS",IF(M40&gt;=33.3,1.953*M39*M40^(1/3),(4.364+0.0722*M40)*M39))</f>
        <v>SOS</v>
      </c>
    </row>
    <row r="46" spans="1:13" ht="16.5" customHeight="1">
      <c r="A46" s="58">
        <v>3</v>
      </c>
      <c r="B46" s="121" t="s">
        <v>41</v>
      </c>
      <c r="C46" s="129">
        <v>2300</v>
      </c>
      <c r="D46" s="127" t="s">
        <v>109</v>
      </c>
      <c r="E46" s="128"/>
      <c r="F46" s="128" t="s">
        <v>56</v>
      </c>
      <c r="G46" s="122"/>
      <c r="H46" s="93" t="s">
        <v>101</v>
      </c>
      <c r="I46" s="147" t="s">
        <v>143</v>
      </c>
      <c r="J46" s="35"/>
      <c r="K46" s="56"/>
      <c r="L46" s="50">
        <f>IF(AND(F35&lt;2300,F36&gt;0.7,F36&lt;7),(3.657+0.0677*F40^1.33/(1+0.1*(F40/F36)^0.3))*F39,IF(AND(F35&lt;2300,F36&gt;0,7,F40&lt;33),(3.657+0.0677*F40^1.33/(1+0.1*(F40/F36)^0.3))*F39,"SOS"))</f>
        <v>6.285155978608602</v>
      </c>
      <c r="M46" s="50" t="str">
        <f>IF(AND(M35&lt;2300,M36&gt;0.7,M36&lt;7),(3.657+0.0677*M40^1.33/(1+0.1*(M40/M36)^0.3))*M39,"SOS")</f>
        <v>SOS</v>
      </c>
    </row>
    <row r="47" spans="1:13" ht="16.5" customHeight="1">
      <c r="A47" s="58">
        <v>4</v>
      </c>
      <c r="B47" s="121" t="s">
        <v>41</v>
      </c>
      <c r="C47" s="129">
        <v>2300</v>
      </c>
      <c r="D47" s="127" t="s">
        <v>109</v>
      </c>
      <c r="E47" s="128"/>
      <c r="F47" s="128" t="s">
        <v>42</v>
      </c>
      <c r="G47" s="122"/>
      <c r="H47" s="134" t="s">
        <v>40</v>
      </c>
      <c r="I47" s="147" t="s">
        <v>144</v>
      </c>
      <c r="J47" s="35"/>
      <c r="K47" s="56"/>
      <c r="L47" s="50">
        <f>IF(AND(F35&lt;2300,F36&gt;0.7,F36&lt;7),(4.364+0.086*F40^1.33/(1+0.1*(F40/F36)^0.83))*F39,IF(AND(F35&lt;2300,F36&gt;0.7,F40&lt;33),(4.364+0.086*F40^1.33/(1+0.1*(F40/F36)^0.83))*F39,"SOS"))</f>
        <v>7.796290707602085</v>
      </c>
      <c r="M47" s="50" t="str">
        <f>IF(AND(M35&lt;2300,M36&gt;0.7,M36&lt;7),(4.364+0.086*M40^1.33/(1+0.1*(M40/M36)^0.83))*M39,IF(AND(M35&lt;2300,M36&gt;0.7,M40&lt;33),(4.364+0.086*M40^1.33/(1+0.1*(M40/M36)^0.83))*M39,"SOS"))</f>
        <v>SOS</v>
      </c>
    </row>
    <row r="48" spans="1:13" s="7" customFormat="1" ht="4.5" customHeight="1">
      <c r="A48" s="59"/>
      <c r="B48" s="130"/>
      <c r="C48" s="131"/>
      <c r="D48" s="132"/>
      <c r="E48" s="132"/>
      <c r="F48" s="132"/>
      <c r="G48" s="132"/>
      <c r="H48" s="61"/>
      <c r="I48" s="132"/>
      <c r="J48" s="60"/>
      <c r="K48" s="60"/>
      <c r="L48" s="62"/>
      <c r="M48" s="62"/>
    </row>
    <row r="49" spans="1:13" ht="16.5" customHeight="1">
      <c r="A49" s="58">
        <v>5</v>
      </c>
      <c r="B49" s="133" t="s">
        <v>137</v>
      </c>
      <c r="C49" s="129"/>
      <c r="D49" s="127" t="s">
        <v>110</v>
      </c>
      <c r="E49" s="128"/>
      <c r="F49" s="128"/>
      <c r="G49" s="122"/>
      <c r="H49" s="76" t="s">
        <v>99</v>
      </c>
      <c r="I49" s="147" t="s">
        <v>43</v>
      </c>
      <c r="J49" s="35"/>
      <c r="K49" s="56"/>
      <c r="L49" s="50" t="str">
        <f>IF(AND(F35&gt;2300,F35&lt;10^6,F36&gt;0.5,F36&lt;1000,F11/F37&lt;=1),0.125*F41*(F35-1000)*F36*F38*F39/(1+4.49*F41^0.5*(F36^(2/3)-1)),"SOS")</f>
        <v>SOS</v>
      </c>
      <c r="M49" s="50">
        <f>IF(AND(M35&gt;2300,M35&lt;10^6,M36&gt;0.5,M36&lt;1000,M11/M37&lt;=1),0.125*M41*(M35-1000)*M36*M38*M39/(1+4.49*M41^0.5*(M36^(2/3)-1)),"SOS")</f>
        <v>88.01553697213417</v>
      </c>
    </row>
    <row r="50" spans="1:13" ht="16.5" customHeight="1">
      <c r="A50" s="58">
        <v>6</v>
      </c>
      <c r="B50" s="133" t="s">
        <v>137</v>
      </c>
      <c r="C50" s="129"/>
      <c r="D50" s="127" t="s">
        <v>110</v>
      </c>
      <c r="E50" s="128"/>
      <c r="F50" s="128"/>
      <c r="G50" s="122"/>
      <c r="H50" s="76" t="s">
        <v>100</v>
      </c>
      <c r="I50" s="147" t="s">
        <v>44</v>
      </c>
      <c r="J50" s="35"/>
      <c r="K50" s="56"/>
      <c r="L50" s="50" t="str">
        <f>IF(AND(F35&gt;2300,F35&lt;10^6,F36&gt;0.5,F36&lt;1000,F11/F37&lt;=1),0.0235*(F35^0.8-230)*(1.8*F36^0.3-0.8)*F38*F39,"SOS")</f>
        <v>SOS</v>
      </c>
      <c r="M50" s="50">
        <f>IF(AND(M35&gt;2300,M35&lt;10^6,M36&gt;0.5,M36&lt;1000,M11/M37&lt;=1),0.0235*(M35^0.8-230)*(1.8*M36^0.3-0.8)*M38*M39,"SOS")</f>
        <v>88.33250429421669</v>
      </c>
    </row>
    <row r="51" spans="1:13" ht="16.5" customHeight="1">
      <c r="A51" s="58">
        <v>7</v>
      </c>
      <c r="B51" s="121" t="s">
        <v>45</v>
      </c>
      <c r="C51" s="129">
        <v>10000</v>
      </c>
      <c r="D51" s="127" t="s">
        <v>111</v>
      </c>
      <c r="E51" s="128"/>
      <c r="F51" s="128"/>
      <c r="G51" s="122"/>
      <c r="H51" s="135"/>
      <c r="I51" s="147" t="s">
        <v>46</v>
      </c>
      <c r="J51" s="35"/>
      <c r="K51" s="56"/>
      <c r="L51" s="50" t="str">
        <f>IF(AND(F35&gt;10000,F36&gt;0.7,F36&lt;2500),0.023*F35^0.8*F36^0.4,"SOS")</f>
        <v>SOS</v>
      </c>
      <c r="M51" s="50" t="str">
        <f>IF(AND(M35&gt;10000,M36&gt;0.7,M36&lt;2500),0.023*M35^0.8*M36^0.4,"SOS")</f>
        <v>SOS</v>
      </c>
    </row>
    <row r="52" spans="1:13" ht="16.5" customHeight="1">
      <c r="A52" s="58">
        <v>8</v>
      </c>
      <c r="B52" s="121" t="s">
        <v>45</v>
      </c>
      <c r="C52" s="129">
        <v>10000</v>
      </c>
      <c r="D52" s="147" t="s">
        <v>47</v>
      </c>
      <c r="E52" s="128"/>
      <c r="F52" s="128"/>
      <c r="G52" s="122"/>
      <c r="H52" s="135"/>
      <c r="I52" s="147" t="s">
        <v>140</v>
      </c>
      <c r="J52" s="35"/>
      <c r="K52" s="104"/>
      <c r="L52" s="50" t="str">
        <f>IF(F35&lt;10000,"SOS",1.16*(1210+18*F18-0.038*F18^2)*F34^0.8/F11^0.2)</f>
        <v>SOS</v>
      </c>
      <c r="M52" s="50">
        <f>IF(M35&lt;10000,"SOS",1.16*10^(-3)*(1210+18*M18-0.038*M18^2)*M34^0.8/M13^0.2)</f>
        <v>57.27258845716096</v>
      </c>
    </row>
    <row r="53" spans="1:13" ht="16.5" customHeight="1">
      <c r="A53" s="22"/>
      <c r="B53" s="22"/>
      <c r="C53" s="22"/>
      <c r="D53" s="22"/>
      <c r="E53" s="22"/>
      <c r="F53" s="127" t="s">
        <v>138</v>
      </c>
      <c r="G53" s="35"/>
      <c r="H53" s="136">
        <v>1</v>
      </c>
      <c r="I53" s="114" t="s">
        <v>141</v>
      </c>
      <c r="J53" s="23"/>
      <c r="K53" s="23"/>
      <c r="L53" s="50">
        <f>(3.657+0.19*(2300*F40/F35)^0.8/(1+0.117*(2300*F40/F35)^0.467))*F39*EXP((F35-2300)/730)</f>
        <v>0.6701874743107239</v>
      </c>
      <c r="M53" s="50">
        <f>(3.657+0.19*(2300*M40/M35)^0.8/(1+0.117*(2300*M40/M35)^0.467))*M39*EXP((M35-2300)/730)</f>
        <v>1.368395092380414E+23</v>
      </c>
    </row>
    <row r="54" spans="1:13" ht="16.5" customHeight="1">
      <c r="A54" s="22"/>
      <c r="B54" s="22"/>
      <c r="C54" s="22"/>
      <c r="D54" s="22"/>
      <c r="E54" s="22"/>
      <c r="F54" s="127" t="s">
        <v>139</v>
      </c>
      <c r="G54" s="35"/>
      <c r="H54" s="136">
        <v>5</v>
      </c>
      <c r="I54" s="148" t="s">
        <v>51</v>
      </c>
      <c r="J54" s="23"/>
      <c r="K54" s="23"/>
      <c r="L54" s="50" t="str">
        <f>IF(H54=A49,L49,IF(H54=A50,L50,IF(H54=A51,L51,"SOS")))</f>
        <v>SOS</v>
      </c>
      <c r="M54" s="50">
        <f>IF(H54=A49,M49,IF(H54=A50,M50,IF(H54=A51,M51,"SOS")))</f>
        <v>88.01553697213417</v>
      </c>
    </row>
    <row r="55" spans="1:13" ht="16.5" customHeight="1" thickBot="1">
      <c r="A55" s="63">
        <v>9</v>
      </c>
      <c r="B55" s="123" t="s">
        <v>45</v>
      </c>
      <c r="C55" s="139">
        <v>2300</v>
      </c>
      <c r="D55" s="64"/>
      <c r="E55" s="65"/>
      <c r="F55" s="65"/>
      <c r="G55" s="66"/>
      <c r="H55" s="137"/>
      <c r="I55" s="149" t="s">
        <v>161</v>
      </c>
      <c r="J55" s="27"/>
      <c r="K55" s="57"/>
      <c r="L55" s="67" t="str">
        <f>IF(OR(L53="SOS",L54="SOS"),"SOS",(1/L54^10+1/L53^10)^(-1/10))</f>
        <v>SOS</v>
      </c>
      <c r="M55" s="67">
        <f>IF(OR(M53="SOS",M54="SOS"),"SOS",(1/M54^10+1/M53^10)^(-1/10))</f>
        <v>88.01553697213414</v>
      </c>
    </row>
    <row r="56" spans="1:13" ht="16.5" customHeight="1" thickBot="1">
      <c r="A56" s="8">
        <v>2</v>
      </c>
      <c r="B56" s="68">
        <f>IF(AND(E42="LAMINARNO",OR(A56=A44,A56=A45,A56=A46,A56=A47)),A56,IF(AND(OR(E42="TURBULENTNO",E42="PRELAZNO"),OR(A56=A49,A56=A50,A56=A51,A56=A55)),A56,"SOS"))</f>
        <v>2</v>
      </c>
      <c r="C56" s="96" t="s">
        <v>121</v>
      </c>
      <c r="D56" s="140">
        <f>IF(B56=A44,L44,IF(B56=A45,L45,IF(B56=A46,L46,IF(B56=A47,L47,IF(B56=A49,L49,IF(B56=A50,L50,IF(B56=A51,L51,IF(B56=A55,L55,"SOS"))))))))</f>
        <v>5.229227564858011</v>
      </c>
      <c r="E56" s="95" t="s">
        <v>103</v>
      </c>
      <c r="F56" s="69">
        <f>IF(D56="SOS","SOS",D56*F22/F11)</f>
        <v>0.0457557411925076</v>
      </c>
      <c r="G56" s="22"/>
      <c r="H56" s="8">
        <v>5</v>
      </c>
      <c r="I56" s="68">
        <f>IF(AND(L42="LAMINARNO",OR(H56=A44,H56=A45,H56=A46,H56=A47)),H56,IF(AND(OR(L42="TURBULENTNO",L42="PRELAZNO"),OR(H56=A49,H56=A50,H56=A51,H56=A55)),H56,"SOS"))</f>
        <v>5</v>
      </c>
      <c r="J56" s="96" t="s">
        <v>122</v>
      </c>
      <c r="K56" s="143">
        <f>IF(I56=A44,M44,IF(I56=A45,M45,IF(I56=A46,M46,IF(I56=A47,M47,IF(I56=A49,M49,IF(I56=A50,M50,IF(I56=A51,M51,IF(I56=A55,M55,"SOS"))))))))</f>
        <v>88.01553697213417</v>
      </c>
      <c r="L56" s="95" t="s">
        <v>102</v>
      </c>
      <c r="M56" s="70">
        <f>IF(K56="SOS","SOS",K56*M22/M13)</f>
        <v>0.08741566650878678</v>
      </c>
    </row>
    <row r="57" spans="1:13" ht="16.5" customHeight="1" thickBot="1">
      <c r="A57" s="142" t="str">
        <f>IF(B56=$A44,I44,IF(B56=$A45,I45,IF(B56=$A46,I46,IF(B56=$A47,I47,IF(B56=$A49,I49,IF(B56=$A50,I50,IF(B56=$A51,I51,IF(B56=$A55,I55,"SOS"))))))))</f>
        <v>Šah,  (4.17), (4.18)</v>
      </c>
      <c r="B57" s="71"/>
      <c r="C57" s="72" t="s">
        <v>50</v>
      </c>
      <c r="D57" s="73"/>
      <c r="E57" s="73"/>
      <c r="F57" s="73"/>
      <c r="G57" s="73"/>
      <c r="H57" s="138" t="str">
        <f>IF(H56=$A44,I44,IF(H56=$A45,I45,IF(H56=$A46,I46,IF(H56=$A47,I47,IF(H56=$A49,I49,IF(H56=$A50,I50,IF(H56=$A51,I51,IF(H56=$A55,I55,"SOS"))))))))</f>
        <v>Gnielinski,  (4.26)</v>
      </c>
      <c r="I57" s="71"/>
      <c r="J57" s="138" t="s">
        <v>54</v>
      </c>
      <c r="K57" s="94" t="s">
        <v>49</v>
      </c>
      <c r="L57" s="74" t="s">
        <v>104</v>
      </c>
      <c r="M57" s="144">
        <f>IF(OR(F56="SOS",M56="SOS"),"SOS",1/((F9/F11)*(1/F56+F31)+M27+M31+1/M56))</f>
        <v>0.0275067783005416</v>
      </c>
    </row>
    <row r="58" spans="1:13" ht="15">
      <c r="A58" s="141" t="s">
        <v>162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1:13" ht="15">
      <c r="A59" s="22"/>
      <c r="B59" s="22"/>
      <c r="C59" s="9"/>
      <c r="D59" s="22"/>
      <c r="E59" s="22"/>
      <c r="F59" s="22"/>
      <c r="G59" s="22"/>
      <c r="H59" s="22"/>
      <c r="I59" s="22"/>
      <c r="J59" s="22"/>
      <c r="K59" s="22"/>
      <c r="L59" s="22"/>
      <c r="M59" s="22"/>
    </row>
    <row r="63" ht="15">
      <c r="G63" s="103"/>
    </row>
    <row r="64" ht="15">
      <c r="D64" s="102"/>
    </row>
  </sheetData>
  <sheetProtection password="C784" sheet="1" objects="1" scenarios="1"/>
  <dataValidations count="29">
    <dataValidation allowBlank="1" showInputMessage="1" showErrorMessage="1" promptTitle="ZID CEVI REGISTRA" prompt="Uneti debljinu zida cevi registra" sqref="F10"/>
    <dataValidation allowBlank="1" showInputMessage="1" showErrorMessage="1" promptTitle="SPOLJNJI PRECNIK PLASTA" prompt="Uneti precnik ROLOVANOG plasta ili precnik CEVI" sqref="F7"/>
    <dataValidation type="list" allowBlank="1" showInputMessage="1" showErrorMessage="1" promptTitle="SPOLJNJI PRECNIK CEVI REGISTRA" prompt="Uneti precnik cevi iz menija" sqref="F9">
      <formula1>"0,01,0,016,,0,018,0,022,0,025"</formula1>
    </dataValidation>
    <dataValidation allowBlank="1" showInputMessage="1" showErrorMessage="1" promptTitle="PREGRADA zr=6" prompt="Uneti broj reda cevi tako da odnos rupa u SEKCIJAMA bude priblizno isti (100%)" sqref="F14"/>
    <dataValidation type="list" allowBlank="1" showInputMessage="1" showErrorMessage="1" promptTitle="SMER TOLOTNOG FLUKSA" prompt="Uneti vrednost iz menija" sqref="F16">
      <formula1>"PRIMAR, SEKUNDAR"</formula1>
    </dataValidation>
    <dataValidation type="list" allowBlank="1" showInputMessage="1" showErrorMessage="1" promptTitle="BROJ PROLAZA FLUIDA U REGISTRU" prompt="Uneti vrednost iz menija" sqref="M7">
      <formula1>"1,2,4,6,8"</formula1>
    </dataValidation>
    <dataValidation type="list" allowBlank="1" showInputMessage="1" showErrorMessage="1" promptTitle="BROJ PROLAZA FLUIDA U OMOTACU" prompt="Uneti vrednost iz menija" sqref="M8">
      <formula1>"1,2,4"</formula1>
    </dataValidation>
    <dataValidation allowBlank="1" showInputMessage="1" showErrorMessage="1" prompt="Debljina zaprljanja&#10;Opcioni podatak, ako nisu zadati otpori zaprljanja" sqref="M29 F29"/>
    <dataValidation allowBlank="1" showInputMessage="1" showErrorMessage="1" promptTitle="USVOJEN OTPOR ZAPRLJANJU OMOT." prompt="Obavezan podatak&#10;prema zahtevu, preporukama ili proracunu" sqref="M31"/>
    <dataValidation allowBlank="1" showInputMessage="1" showErrorMessage="1" promptTitle="ITERACIJE" prompt="AUTOMATSKI: Uneti polje racunske vrednosti.&#10;RUCNO:         Uneti vrednost iz polja, postepeno iterirati&#10;VAZNO:          Ako Excel padne, uneti proizvoljne vrednosti pa ponoviti automatski ili rucni rad" sqref="F23 M23"/>
    <dataValidation type="list" allowBlank="1" showInputMessage="1" showErrorMessage="1" promptTitle="STANJE FLUIDA U OMOTACU" prompt="Uneti vrednost iz menija" sqref="K16">
      <formula1>"TECNOST, GAS"</formula1>
    </dataValidation>
    <dataValidation type="list" allowBlank="1" showInputMessage="1" showErrorMessage="1" prompt="Uzeti iz menija" sqref="H54">
      <formula1>"5,6,7"</formula1>
    </dataValidation>
    <dataValidation type="list" allowBlank="1" showInputMessage="1" showErrorMessage="1" prompt="Uzeti iz menija" sqref="A56 H56">
      <formula1>"1,2,3,4,5,6,7,9"</formula1>
    </dataValidation>
    <dataValidation type="list" allowBlank="1" showInputMessage="1" showErrorMessage="1" promptTitle="UZETI IZ MENIJA" sqref="H53">
      <formula1>"1"</formula1>
    </dataValidation>
    <dataValidation allowBlank="1" showInputMessage="1" showErrorMessage="1" promptTitle="DEBLJINA DIJAFRAGME" prompt="Uneti debljinu dijafragme u omotacu" sqref="F8"/>
    <dataValidation allowBlank="1" showInputMessage="1" showErrorMessage="1" promptTitle="BROJ OTVORA U CEVNOJ PLOCI" prompt="Iz geometrije uneti ukupan broj otvora u ploci cevnog registra" sqref="F12"/>
    <dataValidation allowBlank="1" showInputMessage="1" showErrorMessage="1" promptTitle="DUZINA PRAVOG DELA REGISTRA" prompt="Uneti duzinu pravog dela registra" sqref="M9"/>
    <dataValidation type="list" allowBlank="1" showInputMessage="1" showErrorMessage="1" promptTitle="STANJE FLUIDA U REGISTRU" prompt="Uneti vrednost iz menija" sqref="D16">
      <formula1>"TECNOST, GAS"</formula1>
    </dataValidation>
    <dataValidation allowBlank="1" showInputMessage="1" showErrorMessage="1" promptTitle="REZIM U REGISTRU" prompt="Obavezan podatak" sqref="F17:F18"/>
    <dataValidation allowBlank="1" showInputMessage="1" showErrorMessage="1" promptTitle="REZIM U OMOTACU" prompt="Obavezan podatak" sqref="M17:M18"/>
    <dataValidation allowBlank="1" showInputMessage="1" showErrorMessage="1" promptTitle="VELICINE STANJA" prompt="Svojstva fluida u registru" sqref="F19:F22"/>
    <dataValidation allowBlank="1" showInputMessage="1" showErrorMessage="1" promptTitle="VELICINE STANJA" prompt="Svojstva fluida u omotacu" sqref="M19:M22"/>
    <dataValidation allowBlank="1" showInputMessage="1" showErrorMessage="1" prompt="Svojstvo fluida na temperaturi zida registra" sqref="F24"/>
    <dataValidation allowBlank="1" showInputMessage="1" showErrorMessage="1" prompt="Svojstvo fluida na temperaturi zida omotaca" sqref="M24"/>
    <dataValidation allowBlank="1" showInputMessage="1" showErrorMessage="1" promptTitle="USVOJEN OTPOR ZAPRLJANJU REG." prompt="Obavezan podatak&#10;prema zahtevu, preporukama ili proracunu" sqref="F31"/>
    <dataValidation allowBlank="1" showInputMessage="1" showErrorMessage="1" prompt="Toplotna provodljivost zaprljanja unutar cevi registra&#10;Opcioni podatak ako nije zadat otpor zaprljanja" sqref="F28"/>
    <dataValidation allowBlank="1" showInputMessage="1" showErrorMessage="1" prompt="Obavezan podatak&#10;Toplotna provodljivost zida cevi registra" sqref="F27"/>
    <dataValidation allowBlank="1" showInputMessage="1" showErrorMessage="1" prompt="Toplotna provodljivost zaprljanja na cevi sa strane omotaca&#10;Opcioni podatak, ako nisu zadati otpori zaprljanja" sqref="M28"/>
    <dataValidation allowBlank="1" showInputMessage="1" showErrorMessage="1" prompt="Neobavezan podatak o materijalu cevi" sqref="D9"/>
  </dataValidations>
  <printOptions/>
  <pageMargins left="0.75" right="0.25" top="0.6" bottom="0.2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EXCELOVA PODRSKA KNJIGE</dc:title>
  <dc:subject>Dobosasti razmenjivaci toplote</dc:subject>
  <dc:creator>Rikalovic Milan</dc:creator>
  <cp:keywords>Razmenjivac toplote</cp:keywords>
  <dc:description>Aplikacija za podrsku knjige
DOBOSASTI RAZMENJIVACI TOPLOTE
Verzija 2</dc:description>
  <cp:lastModifiedBy>Dusan</cp:lastModifiedBy>
  <cp:lastPrinted>2017-05-18T22:44:10Z</cp:lastPrinted>
  <dcterms:created xsi:type="dcterms:W3CDTF">1999-12-25T14:09:33Z</dcterms:created>
  <dcterms:modified xsi:type="dcterms:W3CDTF">2017-05-20T16:47:11Z</dcterms:modified>
  <cp:category>Excelova aplikacija</cp:category>
  <cp:version/>
  <cp:contentType/>
  <cp:contentStatus/>
</cp:coreProperties>
</file>