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0"/>
  </bookViews>
  <sheets>
    <sheet name="POPRECNO" sheetId="1" r:id="rId1"/>
  </sheets>
  <definedNames>
    <definedName name="AKTIV">"GotovOblik 925"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<sst xmlns="http://schemas.openxmlformats.org/spreadsheetml/2006/main" count="299" uniqueCount="264">
  <si>
    <t>Raspored cevi i prvi otvor</t>
  </si>
  <si>
    <t>Koeficijenti za idealni snop</t>
  </si>
  <si>
    <t>Totalni korekcioni koeficijent</t>
  </si>
  <si>
    <t>Faktor uticaja laminarne popr. struje</t>
  </si>
  <si>
    <t>Idealni koeficijent prolaza toplote</t>
  </si>
  <si>
    <t>Korigovani koef. prolaza toplote</t>
  </si>
  <si>
    <t>Korekcija strujanja Ci F, obilazno</t>
  </si>
  <si>
    <t>Korekcija uticaja ulazno-izlazne zone</t>
  </si>
  <si>
    <t>Pad pritiska idealno nastr. snopa</t>
  </si>
  <si>
    <t>Srednja brzina strujanja u oknu</t>
  </si>
  <si>
    <t>Pad pritiska u oknu idealnog snopa</t>
  </si>
  <si>
    <t xml:space="preserve">Pad pritiska u oknu </t>
  </si>
  <si>
    <t>Pad pritiska ulazno-izlazne zone</t>
  </si>
  <si>
    <t xml:space="preserve">Kor. faktor ulazno-izlazne zone </t>
  </si>
  <si>
    <t>PROTOK I SVOJSTVA RADNOG FLUIDA</t>
  </si>
  <si>
    <t>broj</t>
  </si>
  <si>
    <t>Naziv fluida</t>
  </si>
  <si>
    <t>Broj cevi u redu na tetivi</t>
  </si>
  <si>
    <t>Poroznost cevnog snopa</t>
  </si>
  <si>
    <t>Nuselt laminarne struje POLHAUZEN</t>
  </si>
  <si>
    <t xml:space="preserve">Nuselt turbulentne struje </t>
  </si>
  <si>
    <t>Faktor broja nastrujanih redova cevi</t>
  </si>
  <si>
    <t>Nuseltov broj idealnog snopa</t>
  </si>
  <si>
    <t>Korekcija obilaznog strujanja, C i F</t>
  </si>
  <si>
    <t>Razlika</t>
  </si>
  <si>
    <t>STRUJANJE U KRAJNJIM (ULAZNO-IZLAZNIM) ZONAMA</t>
  </si>
  <si>
    <t>Koeficijent trenja prema Filonenku</t>
  </si>
  <si>
    <t>Pa/m</t>
  </si>
  <si>
    <r>
      <t>F</t>
    </r>
    <r>
      <rPr>
        <sz val="9"/>
        <rFont val="Arial"/>
        <family val="2"/>
      </rPr>
      <t>sr</t>
    </r>
    <r>
      <rPr>
        <sz val="10"/>
        <rFont val="Arial"/>
        <family val="0"/>
      </rPr>
      <t xml:space="preserve"> [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]</t>
    </r>
  </si>
  <si>
    <t>USVOJENO prema</t>
  </si>
  <si>
    <t>Prema</t>
  </si>
  <si>
    <t>BELL DELAWARE</t>
  </si>
  <si>
    <t>GADDIS</t>
  </si>
  <si>
    <t>VODA</t>
  </si>
  <si>
    <t>TOPLA</t>
  </si>
  <si>
    <t>Ukupan broj redova od ose</t>
  </si>
  <si>
    <t>Ukupan broj kolona od ose</t>
  </si>
  <si>
    <t>Broj prolaza u cevnom registru</t>
  </si>
  <si>
    <t>A</t>
  </si>
  <si>
    <t>B</t>
  </si>
  <si>
    <t>C</t>
  </si>
  <si>
    <t>D</t>
  </si>
  <si>
    <t>Vertikalni/Horizontalni korak</t>
  </si>
  <si>
    <t>Maseni protok fluida</t>
  </si>
  <si>
    <t>Predpostavljeni Rejnoldsov broj</t>
  </si>
  <si>
    <r>
      <t>NO</t>
    </r>
    <r>
      <rPr>
        <sz val="10"/>
        <color indexed="8"/>
        <rFont val="Arial"/>
        <family val="2"/>
      </rPr>
      <t xml:space="preserve"> [mm]</t>
    </r>
  </si>
  <si>
    <t>Rejnoldsov broj u krajnjoj zoni</t>
  </si>
  <si>
    <t xml:space="preserve">Kor. faktor obilazne struje krajnje zone </t>
  </si>
  <si>
    <t>Faktor smera prelaza toplote</t>
  </si>
  <si>
    <t>Srednja temp i temp zida</t>
  </si>
  <si>
    <t>Pad pritiska fluida u krajnjim zonama</t>
  </si>
  <si>
    <r>
      <t>F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</si>
  <si>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sz val="10"/>
        <color indexed="8"/>
        <rFont val="Arial"/>
        <family val="0"/>
      </rPr>
      <t xml:space="preserve"> [m/s]</t>
    </r>
  </si>
  <si>
    <t xml:space="preserve">Broj popr. nastr. redova krajnje zone </t>
  </si>
  <si>
    <t>STRUJANJE U CEVNOM SNOPU</t>
  </si>
  <si>
    <t>Dvostruki zazor snopa i dijafragme</t>
  </si>
  <si>
    <t>Debljina dijafragme i pregrada</t>
  </si>
  <si>
    <t>Prema  GNIELINSKOM</t>
  </si>
  <si>
    <t>Prema  BELL DELAWARE</t>
  </si>
  <si>
    <t>Prava</t>
  </si>
  <si>
    <r>
      <t>c</t>
    </r>
    <r>
      <rPr>
        <i/>
        <vertAlign val="subscript"/>
        <sz val="11"/>
        <rFont val="Times New Roman"/>
        <family val="1"/>
      </rPr>
      <t>p</t>
    </r>
    <r>
      <rPr>
        <sz val="10"/>
        <rFont val="Arial"/>
        <family val="2"/>
      </rPr>
      <t>[kJ/(kg K)]</t>
    </r>
  </si>
  <si>
    <r>
      <t>l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2"/>
      </rPr>
      <t>[kW/mK]</t>
    </r>
  </si>
  <si>
    <r>
      <t>m</t>
    </r>
    <r>
      <rPr>
        <sz val="11"/>
        <color indexed="8"/>
        <rFont val="Arial"/>
        <family val="0"/>
      </rPr>
      <t xml:space="preserve"> [kg/h]</t>
    </r>
  </si>
  <si>
    <r>
      <t>nr</t>
    </r>
    <r>
      <rPr>
        <i/>
        <sz val="12"/>
        <color indexed="8"/>
        <rFont val="YU L Swiss"/>
        <family val="2"/>
      </rPr>
      <t>/(</t>
    </r>
    <r>
      <rPr>
        <i/>
        <sz val="12"/>
        <color indexed="8"/>
        <rFont val="Symbol"/>
        <family val="1"/>
      </rPr>
      <t>nr)</t>
    </r>
    <r>
      <rPr>
        <i/>
        <vertAlign val="subscript"/>
        <sz val="12"/>
        <color indexed="8"/>
        <rFont val="Times New Roman"/>
        <family val="1"/>
      </rPr>
      <t>z</t>
    </r>
  </si>
  <si>
    <r>
      <t>d</t>
    </r>
    <r>
      <rPr>
        <i/>
        <vertAlign val="subscript"/>
        <sz val="12"/>
        <rFont val="Times New Roman"/>
        <family val="1"/>
      </rPr>
      <t>eo</t>
    </r>
    <r>
      <rPr>
        <sz val="12"/>
        <rFont val="Arial"/>
        <family val="2"/>
      </rPr>
      <t xml:space="preserve"> [m]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</si>
  <si>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k</t>
    </r>
    <r>
      <rPr>
        <i/>
        <vertAlign val="subscript"/>
        <sz val="12"/>
        <color indexed="8"/>
        <rFont val="Times New Roman"/>
        <family val="1"/>
      </rPr>
      <t>h</t>
    </r>
    <r>
      <rPr>
        <i/>
        <sz val="12"/>
        <color indexed="8"/>
        <rFont val="Times New Roman"/>
        <family val="1"/>
      </rPr>
      <t xml:space="preserve"> </t>
    </r>
  </si>
  <si>
    <r>
      <t>k</t>
    </r>
    <r>
      <rPr>
        <i/>
        <vertAlign val="subscript"/>
        <sz val="12"/>
        <color indexed="8"/>
        <rFont val="Times New Roman"/>
        <family val="1"/>
      </rPr>
      <t>vo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k</t>
    </r>
    <r>
      <rPr>
        <i/>
        <vertAlign val="subscript"/>
        <sz val="12"/>
        <color indexed="8"/>
        <rFont val="Times New Roman"/>
        <family val="1"/>
      </rPr>
      <t>ho</t>
    </r>
  </si>
  <si>
    <r>
      <t>n</t>
    </r>
    <r>
      <rPr>
        <sz val="12"/>
        <color indexed="8"/>
        <rFont val="Arial"/>
        <family val="0"/>
      </rPr>
      <t xml:space="preserve"> [kom]</t>
    </r>
  </si>
  <si>
    <r>
      <t>L</t>
    </r>
    <r>
      <rPr>
        <i/>
        <vertAlign val="subscript"/>
        <sz val="12"/>
        <color indexed="8"/>
        <rFont val="Times New Roman"/>
        <family val="1"/>
      </rPr>
      <t>p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</si>
  <si>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L</t>
    </r>
    <r>
      <rPr>
        <i/>
        <vertAlign val="subscript"/>
        <sz val="12"/>
        <color indexed="8"/>
        <rFont val="Times New Roman"/>
        <family val="1"/>
      </rPr>
      <t>Kp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</si>
  <si>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t</t>
    </r>
    <r>
      <rPr>
        <i/>
        <vertAlign val="subscript"/>
        <sz val="12"/>
        <color indexed="8"/>
        <rFont val="Times New Roman"/>
        <family val="1"/>
      </rPr>
      <t>sr</t>
    </r>
    <r>
      <rPr>
        <sz val="10"/>
        <color indexed="8"/>
        <rFont val="Arial"/>
        <family val="0"/>
      </rPr>
      <t>/</t>
    </r>
    <r>
      <rPr>
        <i/>
        <sz val="12"/>
        <color indexed="8"/>
        <rFont val="Times New Roman"/>
        <family val="1"/>
      </rPr>
      <t>t</t>
    </r>
    <r>
      <rPr>
        <i/>
        <vertAlign val="subscript"/>
        <sz val="12"/>
        <color indexed="8"/>
        <rFont val="Times New Roman"/>
        <family val="1"/>
      </rPr>
      <t>z</t>
    </r>
    <r>
      <rPr>
        <sz val="10"/>
        <color indexed="8"/>
        <rFont val="Arial"/>
        <family val="0"/>
      </rPr>
      <t>[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0"/>
      </rPr>
      <t>C]</t>
    </r>
  </si>
  <si>
    <r>
      <t>r</t>
    </r>
    <r>
      <rPr>
        <sz val="10"/>
        <color indexed="8"/>
        <rFont val="Arial"/>
        <family val="0"/>
      </rPr>
      <t>[kg/m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>]</t>
    </r>
  </si>
  <si>
    <r>
      <t>n</t>
    </r>
    <r>
      <rPr>
        <sz val="10"/>
        <color indexed="8"/>
        <rFont val="Arial"/>
        <family val="0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/s]</t>
    </r>
  </si>
  <si>
    <r>
      <t>d</t>
    </r>
    <r>
      <rPr>
        <i/>
        <vertAlign val="subscript"/>
        <sz val="12"/>
        <color indexed="8"/>
        <rFont val="Times New Roman"/>
        <family val="1"/>
      </rPr>
      <t>pr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</si>
  <si>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</si>
  <si>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r</t>
    </r>
    <r>
      <rPr>
        <i/>
        <vertAlign val="subscript"/>
        <sz val="12"/>
        <rFont val="Times New Roman"/>
        <family val="1"/>
      </rPr>
      <t>max</t>
    </r>
    <r>
      <rPr>
        <sz val="12"/>
        <rFont val="Arial"/>
        <family val="2"/>
      </rPr>
      <t xml:space="preserve"> [m]</t>
    </r>
  </si>
  <si>
    <r>
      <t>m</t>
    </r>
    <r>
      <rPr>
        <i/>
        <vertAlign val="subscript"/>
        <sz val="12"/>
        <color indexed="8"/>
        <rFont val="Times New Roman"/>
        <family val="1"/>
      </rPr>
      <t>co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</si>
  <si>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m</t>
    </r>
    <r>
      <rPr>
        <i/>
        <vertAlign val="subscript"/>
        <sz val="12"/>
        <color indexed="8"/>
        <rFont val="Times New Roman"/>
        <family val="1"/>
      </rPr>
      <t>fo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</si>
  <si>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m</t>
    </r>
    <r>
      <rPr>
        <i/>
        <vertAlign val="subscript"/>
        <sz val="12"/>
        <color indexed="8"/>
        <rFont val="Times New Roman"/>
        <family val="1"/>
      </rPr>
      <t>ao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</si>
  <si>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m</t>
    </r>
    <r>
      <rPr>
        <i/>
        <vertAlign val="subscript"/>
        <sz val="12"/>
        <color indexed="8"/>
        <rFont val="Times New Roman"/>
        <family val="1"/>
      </rPr>
      <t>eo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0"/>
      </rPr>
      <t>[m]</t>
    </r>
  </si>
  <si>
    <r>
      <t>F</t>
    </r>
    <r>
      <rPr>
        <i/>
        <vertAlign val="subscript"/>
        <sz val="12"/>
        <rFont val="Times New Roman"/>
        <family val="1"/>
      </rPr>
      <t>eo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</si>
  <si>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ao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</si>
  <si>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cf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</si>
  <si>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oo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</si>
  <si>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 xml:space="preserve"> pr</t>
    </r>
    <r>
      <rPr>
        <sz val="10"/>
        <color indexed="8"/>
        <rFont val="Arial"/>
        <family val="0"/>
      </rPr>
      <t>[m/s]</t>
    </r>
  </si>
  <si>
    <r>
      <t>l</t>
    </r>
    <r>
      <rPr>
        <i/>
        <vertAlign val="subscript"/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</si>
  <si>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F</t>
    </r>
    <r>
      <rPr>
        <i/>
        <vertAlign val="subscript"/>
        <sz val="12"/>
        <rFont val="Times New Roman"/>
        <family val="1"/>
      </rPr>
      <t>p</t>
    </r>
    <r>
      <rPr>
        <sz val="12"/>
        <rFont val="Times New Roman"/>
        <family val="1"/>
      </rPr>
      <t>[m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]</t>
    </r>
  </si>
  <si>
    <r>
      <t>w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>[m/s]</t>
    </r>
  </si>
  <si>
    <r>
      <t>a</t>
    </r>
    <r>
      <rPr>
        <i/>
        <vertAlign val="subscript"/>
        <sz val="12"/>
        <rFont val="Times New Roman"/>
        <family val="1"/>
      </rPr>
      <t>id</t>
    </r>
    <r>
      <rPr>
        <sz val="10"/>
        <rFont val="Arial"/>
        <family val="2"/>
      </rPr>
      <t>[kW/(m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K)]</t>
    </r>
  </si>
  <si>
    <r>
      <t>a</t>
    </r>
    <r>
      <rPr>
        <i/>
        <vertAlign val="subscript"/>
        <sz val="12"/>
        <rFont val="Times New Roman"/>
        <family val="1"/>
      </rPr>
      <t>o</t>
    </r>
    <r>
      <rPr>
        <sz val="10"/>
        <rFont val="Arial"/>
        <family val="2"/>
      </rPr>
      <t>[kW/(m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K)]</t>
    </r>
  </si>
  <si>
    <r>
      <t>d</t>
    </r>
    <r>
      <rPr>
        <sz val="12"/>
        <color indexed="8"/>
        <rFont val="Arial"/>
        <family val="0"/>
      </rPr>
      <t xml:space="preserve"> [m]</t>
    </r>
  </si>
  <si>
    <r>
      <t>L</t>
    </r>
    <r>
      <rPr>
        <i/>
        <vertAlign val="subscript"/>
        <sz val="12"/>
        <rFont val="Times New Roman"/>
        <family val="1"/>
      </rPr>
      <t>g</t>
    </r>
    <r>
      <rPr>
        <sz val="12"/>
        <rFont val="Arial"/>
        <family val="0"/>
      </rPr>
      <t xml:space="preserve"> [m]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</si>
  <si>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2"/>
        <color indexed="8"/>
        <rFont val="YU L Swiss"/>
        <family val="2"/>
      </rPr>
      <t xml:space="preserve"> </t>
    </r>
    <r>
      <rPr>
        <sz val="12"/>
        <color indexed="8"/>
        <rFont val="Arial"/>
        <family val="2"/>
      </rPr>
      <t>[m]</t>
    </r>
  </si>
  <si>
    <r>
      <t>d</t>
    </r>
    <r>
      <rPr>
        <i/>
        <vertAlign val="subscript"/>
        <sz val="12"/>
        <rFont val="Times New Roman"/>
        <family val="1"/>
      </rPr>
      <t>s</t>
    </r>
    <r>
      <rPr>
        <sz val="12"/>
        <rFont val="Arial"/>
        <family val="2"/>
      </rPr>
      <t xml:space="preserve"> [m]</t>
    </r>
  </si>
  <si>
    <r>
      <t>d</t>
    </r>
    <r>
      <rPr>
        <i/>
        <vertAlign val="subscript"/>
        <sz val="12"/>
        <rFont val="Times New Roman"/>
        <family val="1"/>
      </rPr>
      <t>u</t>
    </r>
    <r>
      <rPr>
        <sz val="12"/>
        <rFont val="Arial"/>
        <family val="2"/>
      </rPr>
      <t xml:space="preserve"> [m]</t>
    </r>
  </si>
  <si>
    <r>
      <t>H</t>
    </r>
    <r>
      <rPr>
        <i/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Arial"/>
        <family val="2"/>
      </rPr>
      <t xml:space="preserve"> [m]</t>
    </r>
  </si>
  <si>
    <r>
      <t>g</t>
    </r>
    <r>
      <rPr>
        <i/>
        <vertAlign val="subscript"/>
        <sz val="12"/>
        <rFont val="Times New Roman"/>
        <family val="1"/>
      </rPr>
      <t>u</t>
    </r>
    <r>
      <rPr>
        <sz val="12"/>
        <rFont val="Arial"/>
        <family val="2"/>
      </rPr>
      <t xml:space="preserve"> 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]</t>
    </r>
  </si>
  <si>
    <r>
      <t>d</t>
    </r>
    <r>
      <rPr>
        <i/>
        <vertAlign val="subscript"/>
        <sz val="12"/>
        <color indexed="8"/>
        <rFont val="Times New Roman"/>
        <family val="1"/>
      </rPr>
      <t>u pr</t>
    </r>
    <r>
      <rPr>
        <sz val="12"/>
        <color indexed="8"/>
        <rFont val="Arial"/>
        <family val="2"/>
      </rPr>
      <t>[m]</t>
    </r>
  </si>
  <si>
    <r>
      <t>L</t>
    </r>
    <r>
      <rPr>
        <i/>
        <vertAlign val="subscript"/>
        <sz val="12"/>
        <rFont val="Times New Roman"/>
        <family val="1"/>
      </rPr>
      <t>s</t>
    </r>
    <r>
      <rPr>
        <sz val="12"/>
        <rFont val="Arial"/>
        <family val="0"/>
      </rPr>
      <t xml:space="preserve"> [m]</t>
    </r>
  </si>
  <si>
    <r>
      <t>x</t>
    </r>
    <r>
      <rPr>
        <i/>
        <vertAlign val="subscript"/>
        <sz val="12"/>
        <color indexed="8"/>
        <rFont val="Times New Roman"/>
        <family val="1"/>
      </rPr>
      <t>t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[m]</t>
    </r>
  </si>
  <si>
    <r>
      <t>F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0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]</t>
    </r>
  </si>
  <si>
    <r>
      <t>w</t>
    </r>
    <r>
      <rPr>
        <i/>
        <vertAlign val="subscript"/>
        <sz val="12"/>
        <rFont val="Arial"/>
        <family val="2"/>
      </rPr>
      <t>t</t>
    </r>
    <r>
      <rPr>
        <sz val="11"/>
        <rFont val="Arial"/>
        <family val="0"/>
      </rPr>
      <t xml:space="preserve"> [m/s]</t>
    </r>
  </si>
  <si>
    <r>
      <t>F</t>
    </r>
    <r>
      <rPr>
        <i/>
        <vertAlign val="subscript"/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1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</si>
  <si>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2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</si>
  <si>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M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</si>
  <si>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>M</t>
    </r>
    <r>
      <rPr>
        <sz val="10"/>
        <color indexed="8"/>
        <rFont val="Arial"/>
        <family val="0"/>
      </rPr>
      <t xml:space="preserve"> [m/s]</t>
    </r>
  </si>
  <si>
    <r>
      <t>F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1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</si>
  <si>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</si>
  <si>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F</t>
    </r>
    <r>
      <rPr>
        <i/>
        <vertAlign val="subscript"/>
        <sz val="12"/>
        <rFont val="Times New Roman"/>
        <family val="1"/>
      </rPr>
      <t>K</t>
    </r>
    <r>
      <rPr>
        <sz val="12"/>
        <rFont val="Arial"/>
        <family val="2"/>
      </rPr>
      <t xml:space="preserve">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</si>
  <si>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>K</t>
    </r>
    <r>
      <rPr>
        <sz val="10"/>
        <color indexed="8"/>
        <rFont val="Arial"/>
        <family val="0"/>
      </rPr>
      <t xml:space="preserve"> [m/s]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</si>
  <si>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M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</si>
  <si>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K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</si>
  <si>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UO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</si>
  <si>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cs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</si>
  <si>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iM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</si>
  <si>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PK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</si>
  <si>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w</t>
    </r>
    <r>
      <rPr>
        <i/>
        <vertAlign val="subscript"/>
        <sz val="12"/>
        <color indexed="8"/>
        <rFont val="Times New Roman"/>
        <family val="1"/>
      </rPr>
      <t>sr</t>
    </r>
    <r>
      <rPr>
        <sz val="10"/>
        <color indexed="8"/>
        <rFont val="Arial"/>
        <family val="0"/>
      </rPr>
      <t xml:space="preserve"> [m/s]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</si>
  <si>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iO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</si>
  <si>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r>
      <t>D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O</t>
    </r>
    <r>
      <rPr>
        <sz val="11"/>
        <rFont val="Arial"/>
        <family val="2"/>
      </rPr>
      <t>[kP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>]</t>
    </r>
  </si>
  <si>
    <t>Prantlov</t>
  </si>
  <si>
    <r>
      <t>Pr 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</si>
  <si>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rop</t>
    </r>
    <r>
      <rPr>
        <sz val="12"/>
        <rFont val="Arial"/>
        <family val="2"/>
      </rPr>
      <t>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</si>
  <si>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ou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</si>
  <si>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rp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</si>
  <si>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kp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</si>
  <si>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 xml:space="preserve">Re </t>
    </r>
    <r>
      <rPr>
        <sz val="12"/>
        <color indexed="8"/>
        <rFont val="Arial"/>
        <family val="2"/>
      </rPr>
      <t>[</t>
    </r>
    <r>
      <rPr>
        <sz val="12"/>
        <color indexed="8"/>
        <rFont val="Symbol"/>
        <family val="1"/>
      </rPr>
      <t>-</t>
    </r>
    <r>
      <rPr>
        <sz val="12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</si>
  <si>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t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0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</si>
  <si>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Re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</si>
  <si>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e</t>
    </r>
    <r>
      <rPr>
        <vertAlign val="subscript"/>
        <sz val="12"/>
        <rFont val="Times New Roman"/>
        <family val="1"/>
      </rPr>
      <t>1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</si>
  <si>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e</t>
    </r>
    <r>
      <rPr>
        <vertAlign val="subscript"/>
        <sz val="12"/>
        <rFont val="Times New Roman"/>
        <family val="1"/>
      </rPr>
      <t>2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</si>
  <si>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e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</si>
  <si>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Nu</t>
    </r>
    <r>
      <rPr>
        <i/>
        <vertAlign val="subscript"/>
        <sz val="12"/>
        <rFont val="Times New Roman"/>
        <family val="1"/>
      </rPr>
      <t>id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</si>
  <si>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</t>
    </r>
    <r>
      <rPr>
        <i/>
        <vertAlign val="subscript"/>
        <sz val="12"/>
        <rFont val="Times New Roman"/>
        <family val="1"/>
      </rPr>
      <t>rpu</t>
    </r>
    <r>
      <rPr>
        <sz val="11"/>
        <rFont val="Arial"/>
        <family val="2"/>
      </rPr>
      <t xml:space="preserve"> </t>
    </r>
    <r>
      <rPr>
        <sz val="11"/>
        <rFont val="Arial"/>
        <family val="0"/>
      </rPr>
      <t>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</si>
  <si>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o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</si>
  <si>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AE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</si>
  <si>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CF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</si>
  <si>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PK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</si>
  <si>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lam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</si>
  <si>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tot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</si>
  <si>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b</t>
    </r>
    <r>
      <rPr>
        <vertAlign val="subscript"/>
        <sz val="12"/>
        <rFont val="Times New Roman"/>
        <family val="1"/>
      </rPr>
      <t>1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</si>
  <si>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b</t>
    </r>
    <r>
      <rPr>
        <vertAlign val="subscript"/>
        <sz val="12"/>
        <rFont val="Times New Roman"/>
        <family val="1"/>
      </rPr>
      <t>2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</si>
  <si>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b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</si>
  <si>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iM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</si>
  <si>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CF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</si>
  <si>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AE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</si>
  <si>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PK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</si>
  <si>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iO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</si>
  <si>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o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</si>
  <si>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pK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</si>
  <si>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BK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</si>
  <si>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L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</si>
  <si>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pM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</si>
  <si>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BM</t>
    </r>
    <r>
      <rPr>
        <sz val="11"/>
        <color indexed="8"/>
        <rFont val="Arial"/>
        <family val="0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</si>
  <si>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f</t>
    </r>
    <r>
      <rPr>
        <i/>
        <vertAlign val="subscript"/>
        <sz val="12"/>
        <color indexed="8"/>
        <rFont val="Times New Roman"/>
        <family val="1"/>
      </rPr>
      <t>q</t>
    </r>
    <r>
      <rPr>
        <i/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0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0"/>
      </rPr>
      <t>]</t>
    </r>
  </si>
  <si>
    <r>
      <t>Re</t>
    </r>
    <r>
      <rPr>
        <vertAlign val="subscript"/>
        <sz val="12"/>
        <color indexed="8"/>
        <rFont val="Times New Roman"/>
        <family val="1"/>
      </rPr>
      <t>2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</si>
  <si>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Re</t>
    </r>
    <r>
      <rPr>
        <vertAlign val="subscript"/>
        <sz val="12"/>
        <color indexed="8"/>
        <rFont val="Times New Roman"/>
        <family val="1"/>
      </rPr>
      <t>1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</si>
  <si>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Re</t>
    </r>
    <r>
      <rPr>
        <i/>
        <vertAlign val="subscript"/>
        <sz val="12"/>
        <color indexed="8"/>
        <rFont val="Times New Roman"/>
        <family val="1"/>
      </rPr>
      <t>K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</si>
  <si>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Re</t>
    </r>
    <r>
      <rPr>
        <i/>
        <vertAlign val="subscript"/>
        <sz val="12"/>
        <color indexed="8"/>
        <rFont val="Times New Roman"/>
        <family val="1"/>
      </rPr>
      <t>M</t>
    </r>
    <r>
      <rPr>
        <sz val="10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</si>
  <si>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ru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</si>
  <si>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ku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</si>
  <si>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</si>
  <si>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</si>
  <si>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</si>
  <si>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N</t>
    </r>
    <r>
      <rPr>
        <i/>
        <vertAlign val="subscript"/>
        <sz val="12"/>
        <rFont val="Times New Roman"/>
        <family val="1"/>
      </rPr>
      <t>ro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</si>
  <si>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p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</si>
  <si>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x</t>
    </r>
    <r>
      <rPr>
        <i/>
        <vertAlign val="subscript"/>
        <sz val="12"/>
        <color indexed="8"/>
        <rFont val="Arial"/>
        <family val="2"/>
      </rPr>
      <t>pr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</si>
  <si>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a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</si>
  <si>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y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</si>
  <si>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Re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</si>
  <si>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Nu</t>
    </r>
    <r>
      <rPr>
        <i/>
        <vertAlign val="subscript"/>
        <sz val="12"/>
        <rFont val="Times New Roman"/>
        <family val="1"/>
      </rPr>
      <t>L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</si>
  <si>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Nu</t>
    </r>
    <r>
      <rPr>
        <i/>
        <vertAlign val="subscript"/>
        <sz val="12"/>
        <rFont val="Times New Roman"/>
        <family val="1"/>
      </rPr>
      <t>T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</si>
  <si>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</si>
  <si>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N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</si>
  <si>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U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</si>
  <si>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B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</si>
  <si>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>f</t>
    </r>
    <r>
      <rPr>
        <i/>
        <vertAlign val="subscript"/>
        <sz val="12"/>
        <rFont val="Times New Roman"/>
        <family val="1"/>
      </rPr>
      <t>L</t>
    </r>
    <r>
      <rPr>
        <sz val="11"/>
        <rFont val="Arial"/>
        <family val="0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0"/>
      </rPr>
      <t>]</t>
    </r>
  </si>
  <si>
    <r>
      <t xml:space="preserve">j </t>
    </r>
    <r>
      <rPr>
        <sz val="12"/>
        <rFont val="Arial"/>
        <family val="0"/>
      </rPr>
      <t>[</t>
    </r>
    <r>
      <rPr>
        <sz val="12"/>
        <rFont val="Symbol"/>
        <family val="1"/>
      </rPr>
      <t>-</t>
    </r>
    <r>
      <rPr>
        <sz val="12"/>
        <rFont val="Arial"/>
        <family val="0"/>
      </rPr>
      <t>]</t>
    </r>
  </si>
  <si>
    <t>Brzina u najmanjem preseku M</t>
  </si>
  <si>
    <t>Odnos pada pritiska GADDIS/BELL DELAWARE</t>
  </si>
  <si>
    <t>Broj prolaza u omotaču</t>
  </si>
  <si>
    <t>Ukupni broj otvora na cevnoj ploči</t>
  </si>
  <si>
    <t>Unutrašnji prečnik omotača</t>
  </si>
  <si>
    <t>Spoljašnji prečnik cevi</t>
  </si>
  <si>
    <t>Broj prvog reda početka okna</t>
  </si>
  <si>
    <t>Najveća visina okna</t>
  </si>
  <si>
    <t>Broj cevi u oknu po preseku omotača</t>
  </si>
  <si>
    <t>Unutrašnji prečnik cevi registra</t>
  </si>
  <si>
    <t>Dužina pravog dela registra</t>
  </si>
  <si>
    <t>Maks. poluprečnik savijanja</t>
  </si>
  <si>
    <t>GEOMETRIJA POPREČNOG STRUJANJA U OMOTAČU RAZMENJIVAČA TOPLOTE</t>
  </si>
  <si>
    <t>ŠAHOVSKI</t>
  </si>
  <si>
    <r>
      <t xml:space="preserve">DIMENZIONISANJE PRIKLJUČKA  ZA ULAZ i IZLAZ RADNOG FLUIDA pri </t>
    </r>
    <r>
      <rPr>
        <b/>
        <i/>
        <sz val="12"/>
        <color indexed="8"/>
        <rFont val="Arial"/>
        <family val="2"/>
      </rPr>
      <t>R</t>
    </r>
    <r>
      <rPr>
        <b/>
        <sz val="11"/>
        <color indexed="8"/>
        <rFont val="Arial"/>
        <family val="2"/>
      </rPr>
      <t>=</t>
    </r>
  </si>
  <si>
    <t>KOEFICIJENT PROLAZA TOPLOTE PRI POPREČNOM STRUJANJU U OMOTAČU</t>
  </si>
  <si>
    <t>PAD PRITISKA POPREČNO NASTRUJANOG CEVNOG SNOPA - OMOTAČ</t>
  </si>
  <si>
    <r>
      <t>Gustina fluida na t</t>
    </r>
    <r>
      <rPr>
        <sz val="9"/>
        <color indexed="8"/>
        <rFont val="Arial"/>
        <family val="2"/>
      </rPr>
      <t>sr</t>
    </r>
  </si>
  <si>
    <r>
      <t>Kin. viskoznost fluida na t</t>
    </r>
    <r>
      <rPr>
        <sz val="9"/>
        <color indexed="8"/>
        <rFont val="Arial"/>
        <family val="2"/>
      </rPr>
      <t>sr</t>
    </r>
  </si>
  <si>
    <r>
      <t xml:space="preserve">Minimalni razmak ose cevi od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</si>
  <si>
    <t>Početni koraci od osa</t>
  </si>
  <si>
    <t>Broj poprečnih pregrada struje</t>
  </si>
  <si>
    <t>Broj parova podužnih zaptivnih traka</t>
  </si>
  <si>
    <t>Minimalno rastojanje između cevi</t>
  </si>
  <si>
    <t>Ukupna dužina strujanja u omotaču</t>
  </si>
  <si>
    <t>Unutra{nji prečnik priključka</t>
  </si>
  <si>
    <r>
      <t xml:space="preserve">Geometrijski odnos </t>
    </r>
    <r>
      <rPr>
        <i/>
        <sz val="11"/>
        <color indexed="8"/>
        <rFont val="Arial"/>
        <family val="2"/>
      </rPr>
      <t>a=hor. korak</t>
    </r>
    <r>
      <rPr>
        <sz val="11"/>
        <color indexed="8"/>
        <rFont val="Arial"/>
        <family val="2"/>
      </rPr>
      <t>/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s</t>
    </r>
  </si>
  <si>
    <r>
      <t xml:space="preserve">Geometrijski odnos </t>
    </r>
    <r>
      <rPr>
        <i/>
        <sz val="11"/>
        <color indexed="8"/>
        <rFont val="Arial"/>
        <family val="2"/>
      </rPr>
      <t>b=vert. korak</t>
    </r>
    <r>
      <rPr>
        <sz val="11"/>
        <color indexed="8"/>
        <rFont val="Arial"/>
        <family val="2"/>
      </rPr>
      <t>/</t>
    </r>
    <r>
      <rPr>
        <i/>
        <sz val="11"/>
        <color indexed="8"/>
        <rFont val="Arial"/>
        <family val="2"/>
      </rPr>
      <t>d</t>
    </r>
    <r>
      <rPr>
        <i/>
        <vertAlign val="subscript"/>
        <sz val="9"/>
        <color indexed="8"/>
        <rFont val="Arial"/>
        <family val="2"/>
      </rPr>
      <t>s</t>
    </r>
  </si>
  <si>
    <t>Karakteristična dužina za bezd. vel.</t>
  </si>
  <si>
    <t>Površina u osi poprečne struje</t>
  </si>
  <si>
    <r>
      <t>Brzina strujanja kroz površinu F</t>
    </r>
    <r>
      <rPr>
        <sz val="9"/>
        <color indexed="8"/>
        <rFont val="Arial"/>
        <family val="2"/>
      </rPr>
      <t>p</t>
    </r>
  </si>
  <si>
    <t>Rejnoldsov broj poprečne struje</t>
  </si>
  <si>
    <t>Faktor razmeštaja cevnog snopa</t>
  </si>
  <si>
    <t>Korekcija uzdužnog strujanja</t>
  </si>
  <si>
    <t>Korekcija lekažnog strujanja, A i E</t>
  </si>
  <si>
    <r>
      <t xml:space="preserve">Brzina u najmanjem preseku </t>
    </r>
    <r>
      <rPr>
        <i/>
        <sz val="12"/>
        <color indexed="8"/>
        <rFont val="Arial"/>
        <family val="2"/>
      </rPr>
      <t>F</t>
    </r>
    <r>
      <rPr>
        <i/>
        <vertAlign val="subscript"/>
        <sz val="12"/>
        <color indexed="8"/>
        <rFont val="Arial"/>
        <family val="2"/>
      </rPr>
      <t>K</t>
    </r>
  </si>
  <si>
    <r>
      <t>Rejnoldsov broj okna Re</t>
    </r>
    <r>
      <rPr>
        <vertAlign val="subscript"/>
        <sz val="11"/>
        <color indexed="8"/>
        <rFont val="Arial"/>
        <family val="2"/>
      </rPr>
      <t>1</t>
    </r>
  </si>
  <si>
    <r>
      <t>Rejnoldsov broj okna Re</t>
    </r>
    <r>
      <rPr>
        <vertAlign val="subscript"/>
        <sz val="11"/>
        <color indexed="8"/>
        <rFont val="Arial"/>
        <family val="2"/>
      </rPr>
      <t>2</t>
    </r>
  </si>
  <si>
    <t>STRUJANJE U MEĐUZONI (IZMEĐU DVA OKNA)</t>
  </si>
  <si>
    <t>Površina preseka između cevi okna</t>
  </si>
  <si>
    <t>Površina dijagonalno između cevi</t>
  </si>
  <si>
    <r>
      <t>Manja površina od</t>
    </r>
    <r>
      <rPr>
        <i/>
        <sz val="12"/>
        <color indexed="8"/>
        <rFont val="Arial"/>
        <family val="2"/>
      </rPr>
      <t xml:space="preserve"> F</t>
    </r>
    <r>
      <rPr>
        <i/>
        <vertAlign val="subscript"/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i </t>
    </r>
    <r>
      <rPr>
        <i/>
        <sz val="12"/>
        <color indexed="8"/>
        <rFont val="Arial"/>
        <family val="2"/>
      </rPr>
      <t>F</t>
    </r>
    <r>
      <rPr>
        <i/>
        <vertAlign val="subscript"/>
        <sz val="12"/>
        <color indexed="8"/>
        <rFont val="Arial"/>
        <family val="2"/>
      </rPr>
      <t>M</t>
    </r>
    <r>
      <rPr>
        <vertAlign val="subscript"/>
        <sz val="12"/>
        <color indexed="8"/>
        <rFont val="Arial"/>
        <family val="2"/>
      </rPr>
      <t>2</t>
    </r>
  </si>
  <si>
    <t>Rejnoldsov broj u međuzoni</t>
  </si>
  <si>
    <t>Površ. pres.između cevi, krajnja zona</t>
  </si>
  <si>
    <r>
      <t>Manja površina od</t>
    </r>
    <r>
      <rPr>
        <i/>
        <sz val="12"/>
        <color indexed="8"/>
        <rFont val="Arial"/>
        <family val="2"/>
      </rPr>
      <t xml:space="preserve"> F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i </t>
    </r>
    <r>
      <rPr>
        <i/>
        <sz val="12"/>
        <color indexed="8"/>
        <rFont val="Arial"/>
        <family val="2"/>
      </rPr>
      <t>F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2</t>
    </r>
  </si>
  <si>
    <t>STRUJANJE U UZDUŽNO-ZAKRETNOJ ZONI (OKNO)</t>
  </si>
  <si>
    <t>Srednja površina strujanja u oknu</t>
  </si>
  <si>
    <t>Brzina uzdužnog strujanja u oknu</t>
  </si>
  <si>
    <t>PAD PRITISKA POPREČNO NASTRUJANOG SNOPA</t>
  </si>
  <si>
    <t xml:space="preserve">Kor. faktor obilazne struje međuzone </t>
  </si>
  <si>
    <t>Koeficijent otpora poprečne struje</t>
  </si>
  <si>
    <t>Kor. faktor lekažnog strujanja</t>
  </si>
  <si>
    <t>Pad pritiska fluida u međuzoni</t>
  </si>
  <si>
    <t>Koeficijent otpora uzdužne struje okna</t>
  </si>
  <si>
    <t>Pad pritiska uzdužne zone okna</t>
  </si>
  <si>
    <t>UKUPNI PAD PRITISKA POPREČNO</t>
  </si>
  <si>
    <r>
      <t>Spec. toplotni kap. na</t>
    </r>
    <r>
      <rPr>
        <i/>
        <sz val="12"/>
        <color indexed="8"/>
        <rFont val="Arial"/>
        <family val="2"/>
      </rPr>
      <t xml:space="preserve"> t</t>
    </r>
    <r>
      <rPr>
        <i/>
        <vertAlign val="subscript"/>
        <sz val="12"/>
        <color indexed="8"/>
        <rFont val="Arial"/>
        <family val="2"/>
      </rPr>
      <t>sr</t>
    </r>
  </si>
  <si>
    <r>
      <t xml:space="preserve">Topl. provodljivost na </t>
    </r>
    <r>
      <rPr>
        <i/>
        <sz val="12"/>
        <color indexed="8"/>
        <rFont val="Arial"/>
        <family val="2"/>
      </rPr>
      <t>t</t>
    </r>
    <r>
      <rPr>
        <i/>
        <vertAlign val="subscript"/>
        <sz val="12"/>
        <color indexed="8"/>
        <rFont val="Arial"/>
        <family val="2"/>
      </rPr>
      <t>sr</t>
    </r>
  </si>
  <si>
    <t>Odnos dinamičkih viskoz.</t>
  </si>
  <si>
    <t>Ekvivalentni prečnik okna</t>
  </si>
  <si>
    <r>
      <t xml:space="preserve">Dvostruki zazor izme|u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  <r>
      <rPr>
        <sz val="11"/>
        <color indexed="8"/>
        <rFont val="Arial"/>
        <family val="2"/>
      </rPr>
      <t xml:space="preserve"> i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cs</t>
    </r>
  </si>
  <si>
    <t>Broj poprečno nastruj. redova u oknu</t>
  </si>
  <si>
    <t>Računski broj popr. nastruj. redova</t>
  </si>
  <si>
    <t>Rastojanje između pregrada</t>
  </si>
  <si>
    <t>Rast. izmeđe ploče i prve/zadnje pr.</t>
  </si>
  <si>
    <t xml:space="preserve">Broj popr nastr. redova međuzone </t>
  </si>
  <si>
    <t>Dvostruki zazor između otvora i cevi</t>
  </si>
  <si>
    <r>
      <t xml:space="preserve">Dvostruki zazor između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  <r>
      <rPr>
        <sz val="11"/>
        <color indexed="8"/>
        <rFont val="Arial"/>
        <family val="2"/>
      </rPr>
      <t xml:space="preserve"> i pregrade</t>
    </r>
  </si>
  <si>
    <t>Ugao okna po preseku cevne ploče</t>
  </si>
  <si>
    <r>
      <t xml:space="preserve">Površ. zazora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u</t>
    </r>
    <r>
      <rPr>
        <sz val="11"/>
        <color indexed="8"/>
        <rFont val="Arial"/>
        <family val="2"/>
      </rPr>
      <t xml:space="preserve"> i pregr. okna m</t>
    </r>
    <r>
      <rPr>
        <sz val="9"/>
        <color indexed="8"/>
        <rFont val="Arial"/>
        <family val="2"/>
      </rPr>
      <t>eo</t>
    </r>
  </si>
  <si>
    <t>Površ. zazora oko cevi u pregradi</t>
  </si>
  <si>
    <t>Površ. obilazne struje C i F</t>
  </si>
  <si>
    <t>Povš. preseka omotača u oknu</t>
  </si>
  <si>
    <t>Brzina u priključku</t>
  </si>
  <si>
    <t>Računski Rejnoldsov broj</t>
  </si>
  <si>
    <t>Nazivni prečnik priključka</t>
  </si>
  <si>
    <t>Dužina tetive reda najbližeg osi</t>
  </si>
  <si>
    <r>
      <t xml:space="preserve">Površina između cevi tetive </t>
    </r>
    <r>
      <rPr>
        <i/>
        <sz val="12"/>
        <color indexed="8"/>
        <rFont val="Arial"/>
        <family val="2"/>
      </rPr>
      <t>x</t>
    </r>
    <r>
      <rPr>
        <i/>
        <vertAlign val="subscript"/>
        <sz val="12"/>
        <color indexed="8"/>
        <rFont val="Arial"/>
        <family val="2"/>
      </rPr>
      <t>t</t>
    </r>
  </si>
  <si>
    <r>
      <t>Brzina strujanja kroz površinu</t>
    </r>
    <r>
      <rPr>
        <i/>
        <sz val="12"/>
        <color indexed="8"/>
        <rFont val="Arial"/>
        <family val="2"/>
      </rPr>
      <t xml:space="preserve"> F</t>
    </r>
    <r>
      <rPr>
        <i/>
        <vertAlign val="subscript"/>
        <sz val="12"/>
        <color indexed="8"/>
        <rFont val="Arial"/>
        <family val="2"/>
      </rPr>
      <t>t</t>
    </r>
  </si>
  <si>
    <t>Ukupan broj poprečno nastrujanih cevi</t>
  </si>
  <si>
    <t>Korekcija podužnog strujanja okna</t>
  </si>
  <si>
    <t>Korekcija strujanja A i E lekažno</t>
  </si>
  <si>
    <t>Korekcioni faktor obilazne struje C i F</t>
  </si>
  <si>
    <t>Pomoćni koeficijent otpora struje</t>
  </si>
  <si>
    <t>Korekcioni faktor lekažne struje A i E</t>
  </si>
  <si>
    <t>Pad pritiska poprečno nastr. snopa</t>
  </si>
  <si>
    <t>Koeficijent otpora okna idealne struje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</si>
</sst>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sz val="12"/>
      <name val="YU L Swiss"/>
      <family val="2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sz val="12"/>
      <color indexed="8"/>
      <name val="YU L Swiss"/>
      <family val="2"/>
    </font>
    <font>
      <sz val="12"/>
      <color indexed="8"/>
      <name val="Arial"/>
      <family val="0"/>
    </font>
    <font>
      <b/>
      <sz val="11"/>
      <color indexed="12"/>
      <name val="Arial"/>
      <family val="2"/>
    </font>
    <font>
      <b/>
      <sz val="11"/>
      <color indexed="12"/>
      <name val="YU L Swiss"/>
      <family val="2"/>
    </font>
    <font>
      <sz val="12"/>
      <color indexed="33"/>
      <name val="YU L Swiss"/>
      <family val="2"/>
    </font>
    <font>
      <b/>
      <sz val="12"/>
      <color indexed="33"/>
      <name val="YU L Swiss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2"/>
      <color indexed="19"/>
      <name val="Arial"/>
      <family val="2"/>
    </font>
    <font>
      <sz val="12"/>
      <color indexed="8"/>
      <name val="Symbol"/>
      <family val="1"/>
    </font>
    <font>
      <b/>
      <sz val="10"/>
      <color indexed="10"/>
      <name val="Arial"/>
      <family val="2"/>
    </font>
    <font>
      <b/>
      <sz val="12"/>
      <color indexed="21"/>
      <name val="YU L Swiss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sz val="11"/>
      <color indexed="8"/>
      <name val="YU L Swiss"/>
      <family val="2"/>
    </font>
    <font>
      <b/>
      <sz val="11"/>
      <color indexed="16"/>
      <name val="Arial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vertAlign val="subscript"/>
      <sz val="11"/>
      <color indexed="8"/>
      <name val="Arial"/>
      <family val="2"/>
    </font>
    <font>
      <sz val="10"/>
      <color indexed="21"/>
      <name val="Arial"/>
      <family val="2"/>
    </font>
    <font>
      <sz val="11"/>
      <color indexed="8"/>
      <name val="Symbol"/>
      <family val="1"/>
    </font>
    <font>
      <sz val="10"/>
      <color indexed="16"/>
      <name val="YU L Swiss"/>
      <family val="2"/>
    </font>
    <font>
      <sz val="10"/>
      <color indexed="60"/>
      <name val="Arial"/>
      <family val="2"/>
    </font>
    <font>
      <b/>
      <sz val="11"/>
      <color indexed="21"/>
      <name val="YU L Swiss"/>
      <family val="2"/>
    </font>
    <font>
      <sz val="9"/>
      <color indexed="16"/>
      <name val="Arial"/>
      <family val="2"/>
    </font>
    <font>
      <b/>
      <sz val="11"/>
      <color indexed="21"/>
      <name val="Arial"/>
      <family val="2"/>
    </font>
    <font>
      <sz val="8"/>
      <color indexed="2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2"/>
      <name val="Symbol"/>
      <family val="1"/>
    </font>
    <font>
      <i/>
      <vertAlign val="subscript"/>
      <sz val="12"/>
      <name val="Arial"/>
      <family val="2"/>
    </font>
    <font>
      <i/>
      <sz val="12"/>
      <color indexed="8"/>
      <name val="Symbol"/>
      <family val="1"/>
    </font>
    <font>
      <i/>
      <sz val="12"/>
      <color indexed="8"/>
      <name val="YU L Swiss"/>
      <family val="2"/>
    </font>
    <font>
      <vertAlign val="superscript"/>
      <sz val="12"/>
      <name val="Times New Roman"/>
      <family val="1"/>
    </font>
    <font>
      <sz val="20"/>
      <color indexed="21"/>
      <name val="Arial"/>
      <family val="2"/>
    </font>
    <font>
      <i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i/>
      <vertAlign val="subscript"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/>
    </xf>
    <xf numFmtId="187" fontId="0" fillId="0" borderId="0" xfId="0" applyNumberFormat="1" applyAlignment="1" applyProtection="1">
      <alignment/>
      <protection/>
    </xf>
    <xf numFmtId="0" fontId="28" fillId="2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1" fillId="0" borderId="0" xfId="0" applyNumberFormat="1" applyFont="1" applyFill="1" applyAlignment="1" applyProtection="1" quotePrefix="1">
      <alignment horizontal="center" vertical="center"/>
      <protection/>
    </xf>
    <xf numFmtId="0" fontId="46" fillId="0" borderId="0" xfId="0" applyFon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6" fillId="0" borderId="0" xfId="0" applyNumberFormat="1" applyFont="1" applyAlignment="1" applyProtection="1" quotePrefix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Alignment="1" applyProtection="1" quotePrefix="1">
      <alignment horizontal="center" vertical="center"/>
      <protection/>
    </xf>
    <xf numFmtId="0" fontId="28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0" fillId="4" borderId="0" xfId="0" applyFont="1" applyFill="1" applyBorder="1" applyAlignment="1" applyProtection="1">
      <alignment vertical="center"/>
      <protection hidden="1"/>
    </xf>
    <xf numFmtId="0" fontId="29" fillId="4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vertical="center"/>
      <protection hidden="1"/>
    </xf>
    <xf numFmtId="0" fontId="39" fillId="4" borderId="0" xfId="0" applyFont="1" applyFill="1" applyBorder="1" applyAlignment="1" applyProtection="1">
      <alignment/>
      <protection hidden="1"/>
    </xf>
    <xf numFmtId="0" fontId="6" fillId="5" borderId="2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5" borderId="2" xfId="0" applyFill="1" applyBorder="1" applyAlignment="1" applyProtection="1">
      <alignment vertical="center"/>
      <protection hidden="1"/>
    </xf>
    <xf numFmtId="0" fontId="23" fillId="5" borderId="4" xfId="0" applyFont="1" applyFill="1" applyBorder="1" applyAlignment="1" applyProtection="1">
      <alignment horizontal="center" vertical="center"/>
      <protection hidden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0" fontId="22" fillId="5" borderId="7" xfId="0" applyFont="1" applyFill="1" applyBorder="1" applyAlignment="1" applyProtection="1">
      <alignment vertical="center"/>
      <protection hidden="1"/>
    </xf>
    <xf numFmtId="0" fontId="21" fillId="5" borderId="7" xfId="0" applyFont="1" applyFill="1" applyBorder="1" applyAlignment="1" applyProtection="1">
      <alignment vertical="center"/>
      <protection hidden="1"/>
    </xf>
    <xf numFmtId="0" fontId="37" fillId="5" borderId="6" xfId="0" applyFont="1" applyFill="1" applyBorder="1" applyAlignment="1" applyProtection="1">
      <alignment horizontal="center" vertical="center"/>
      <protection hidden="1"/>
    </xf>
    <xf numFmtId="0" fontId="22" fillId="5" borderId="2" xfId="0" applyFont="1" applyFill="1" applyBorder="1" applyAlignment="1" applyProtection="1">
      <alignment vertical="center"/>
      <protection hidden="1"/>
    </xf>
    <xf numFmtId="0" fontId="21" fillId="5" borderId="2" xfId="0" applyFont="1" applyFill="1" applyBorder="1" applyAlignment="1" applyProtection="1">
      <alignment vertical="center"/>
      <protection hidden="1"/>
    </xf>
    <xf numFmtId="0" fontId="7" fillId="5" borderId="5" xfId="0" applyFont="1" applyFill="1" applyBorder="1" applyAlignment="1" applyProtection="1">
      <alignment horizontal="right"/>
      <protection hidden="1"/>
    </xf>
    <xf numFmtId="0" fontId="32" fillId="3" borderId="3" xfId="0" applyFont="1" applyFill="1" applyBorder="1" applyAlignment="1" applyProtection="1">
      <alignment horizontal="center"/>
      <protection hidden="1"/>
    </xf>
    <xf numFmtId="0" fontId="6" fillId="5" borderId="7" xfId="0" applyFont="1" applyFill="1" applyBorder="1" applyAlignment="1" applyProtection="1">
      <alignment vertical="center"/>
      <protection hidden="1"/>
    </xf>
    <xf numFmtId="0" fontId="6" fillId="5" borderId="5" xfId="0" applyFont="1" applyFill="1" applyBorder="1" applyAlignment="1" applyProtection="1">
      <alignment horizontal="right" vertical="center"/>
      <protection hidden="1"/>
    </xf>
    <xf numFmtId="0" fontId="39" fillId="3" borderId="3" xfId="0" applyFont="1" applyFill="1" applyBorder="1" applyAlignment="1" applyProtection="1">
      <alignment horizontal="center" vertical="center"/>
      <protection hidden="1"/>
    </xf>
    <xf numFmtId="0" fontId="22" fillId="5" borderId="8" xfId="0" applyFont="1" applyFill="1" applyBorder="1" applyAlignment="1" applyProtection="1">
      <alignment vertical="center"/>
      <protection hidden="1"/>
    </xf>
    <xf numFmtId="0" fontId="21" fillId="5" borderId="8" xfId="0" applyFont="1" applyFill="1" applyBorder="1" applyAlignment="1" applyProtection="1">
      <alignment vertical="center"/>
      <protection hidden="1"/>
    </xf>
    <xf numFmtId="0" fontId="6" fillId="5" borderId="9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29" fillId="3" borderId="3" xfId="0" applyFont="1" applyFill="1" applyBorder="1" applyAlignment="1" applyProtection="1" quotePrefix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right" vertical="center"/>
      <protection hidden="1"/>
    </xf>
    <xf numFmtId="0" fontId="7" fillId="5" borderId="5" xfId="0" applyFont="1" applyFill="1" applyBorder="1" applyAlignment="1" applyProtection="1">
      <alignment horizontal="right" vertical="center"/>
      <protection hidden="1"/>
    </xf>
    <xf numFmtId="0" fontId="7" fillId="5" borderId="9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7" fillId="5" borderId="8" xfId="0" applyFont="1" applyFill="1" applyBorder="1" applyAlignment="1" applyProtection="1">
      <alignment horizontal="right" vertical="center"/>
      <protection hidden="1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29" fillId="3" borderId="3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9" fillId="3" borderId="3" xfId="0" applyNumberFormat="1" applyFont="1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vertical="center"/>
      <protection hidden="1"/>
    </xf>
    <xf numFmtId="0" fontId="29" fillId="3" borderId="3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7" fillId="5" borderId="6" xfId="0" applyFont="1" applyFill="1" applyBorder="1" applyAlignment="1" applyProtection="1">
      <alignment horizontal="right" vertical="center"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vertical="center"/>
      <protection hidden="1"/>
    </xf>
    <xf numFmtId="0" fontId="6" fillId="5" borderId="10" xfId="0" applyFont="1" applyFill="1" applyBorder="1" applyAlignment="1" applyProtection="1">
      <alignment horizontal="right" vertical="center"/>
      <protection hidden="1"/>
    </xf>
    <xf numFmtId="187" fontId="29" fillId="3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187" fontId="0" fillId="0" borderId="0" xfId="0" applyNumberFormat="1" applyFont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right" vertical="center"/>
      <protection hidden="1"/>
    </xf>
    <xf numFmtId="0" fontId="6" fillId="5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9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34" fillId="5" borderId="7" xfId="0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9" fillId="6" borderId="3" xfId="0" applyFont="1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vertical="center"/>
      <protection hidden="1"/>
    </xf>
    <xf numFmtId="0" fontId="29" fillId="3" borderId="5" xfId="0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right" vertical="center"/>
      <protection hidden="1"/>
    </xf>
    <xf numFmtId="0" fontId="61" fillId="5" borderId="5" xfId="0" applyFont="1" applyFill="1" applyBorder="1" applyAlignment="1" applyProtection="1">
      <alignment horizontal="right"/>
      <protection hidden="1"/>
    </xf>
    <xf numFmtId="0" fontId="66" fillId="5" borderId="5" xfId="0" applyFont="1" applyFill="1" applyBorder="1" applyAlignment="1" applyProtection="1">
      <alignment horizontal="right"/>
      <protection hidden="1"/>
    </xf>
    <xf numFmtId="0" fontId="56" fillId="5" borderId="9" xfId="0" applyFont="1" applyFill="1" applyBorder="1" applyAlignment="1" applyProtection="1">
      <alignment horizontal="right"/>
      <protection hidden="1"/>
    </xf>
    <xf numFmtId="0" fontId="56" fillId="5" borderId="5" xfId="0" applyFont="1" applyFill="1" applyBorder="1" applyAlignment="1" applyProtection="1">
      <alignment horizontal="right"/>
      <protection hidden="1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vertical="center"/>
      <protection hidden="1"/>
    </xf>
    <xf numFmtId="0" fontId="68" fillId="5" borderId="5" xfId="0" applyFont="1" applyFill="1" applyBorder="1" applyAlignment="1" applyProtection="1">
      <alignment horizontal="right" vertical="center"/>
      <protection hidden="1"/>
    </xf>
    <xf numFmtId="0" fontId="64" fillId="5" borderId="6" xfId="0" applyFont="1" applyFill="1" applyBorder="1" applyAlignment="1" applyProtection="1">
      <alignment horizontal="right"/>
      <protection hidden="1"/>
    </xf>
    <xf numFmtId="0" fontId="66" fillId="5" borderId="6" xfId="0" applyFont="1" applyFill="1" applyBorder="1" applyAlignment="1" applyProtection="1">
      <alignment horizontal="right" vertical="center"/>
      <protection hidden="1"/>
    </xf>
    <xf numFmtId="0" fontId="56" fillId="5" borderId="6" xfId="0" applyFont="1" applyFill="1" applyBorder="1" applyAlignment="1" applyProtection="1">
      <alignment horizontal="right" vertical="center"/>
      <protection hidden="1"/>
    </xf>
    <xf numFmtId="0" fontId="68" fillId="5" borderId="5" xfId="0" applyFont="1" applyFill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56" fillId="5" borderId="6" xfId="0" applyFont="1" applyFill="1" applyBorder="1" applyAlignment="1" applyProtection="1">
      <alignment horizontal="right"/>
      <protection hidden="1"/>
    </xf>
    <xf numFmtId="0" fontId="66" fillId="5" borderId="10" xfId="0" applyFont="1" applyFill="1" applyBorder="1" applyAlignment="1" applyProtection="1">
      <alignment horizontal="right" vertical="center"/>
      <protection hidden="1"/>
    </xf>
    <xf numFmtId="0" fontId="66" fillId="5" borderId="9" xfId="0" applyFont="1" applyFill="1" applyBorder="1" applyAlignment="1" applyProtection="1">
      <alignment horizontal="right" vertical="center"/>
      <protection hidden="1"/>
    </xf>
    <xf numFmtId="0" fontId="61" fillId="5" borderId="3" xfId="0" applyFont="1" applyFill="1" applyBorder="1" applyAlignment="1" applyProtection="1">
      <alignment horizontal="right"/>
      <protection hidden="1"/>
    </xf>
    <xf numFmtId="0" fontId="66" fillId="5" borderId="3" xfId="0" applyFont="1" applyFill="1" applyBorder="1" applyAlignment="1" applyProtection="1">
      <alignment horizontal="right"/>
      <protection hidden="1"/>
    </xf>
    <xf numFmtId="0" fontId="55" fillId="5" borderId="3" xfId="0" applyFont="1" applyFill="1" applyBorder="1" applyAlignment="1" applyProtection="1">
      <alignment horizontal="right"/>
      <protection hidden="1"/>
    </xf>
    <xf numFmtId="0" fontId="68" fillId="5" borderId="5" xfId="0" applyFont="1" applyFill="1" applyBorder="1" applyAlignment="1" applyProtection="1">
      <alignment horizontal="right"/>
      <protection hidden="1"/>
    </xf>
    <xf numFmtId="0" fontId="56" fillId="5" borderId="3" xfId="0" applyFont="1" applyFill="1" applyBorder="1" applyAlignment="1" applyProtection="1">
      <alignment horizontal="right"/>
      <protection hidden="1"/>
    </xf>
    <xf numFmtId="0" fontId="68" fillId="5" borderId="3" xfId="0" applyFont="1" applyFill="1" applyBorder="1" applyAlignment="1" applyProtection="1">
      <alignment horizontal="right"/>
      <protection hidden="1"/>
    </xf>
    <xf numFmtId="0" fontId="54" fillId="5" borderId="5" xfId="0" applyFont="1" applyFill="1" applyBorder="1" applyAlignment="1" applyProtection="1">
      <alignment horizontal="right" vertical="center"/>
      <protection hidden="1"/>
    </xf>
    <xf numFmtId="0" fontId="54" fillId="5" borderId="3" xfId="0" applyFont="1" applyFill="1" applyBorder="1" applyAlignment="1" applyProtection="1">
      <alignment horizontal="right" vertical="center"/>
      <protection hidden="1"/>
    </xf>
    <xf numFmtId="0" fontId="54" fillId="5" borderId="3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5" fillId="5" borderId="3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8" fillId="5" borderId="3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10" fontId="27" fillId="0" borderId="0" xfId="16" applyNumberFormat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39" fillId="3" borderId="5" xfId="0" applyFont="1" applyFill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right" vertical="center"/>
      <protection hidden="1"/>
    </xf>
    <xf numFmtId="0" fontId="5" fillId="5" borderId="5" xfId="0" applyFont="1" applyFill="1" applyBorder="1" applyAlignment="1" applyProtection="1">
      <alignment horizontal="right"/>
      <protection hidden="1"/>
    </xf>
    <xf numFmtId="0" fontId="38" fillId="5" borderId="11" xfId="0" applyFont="1" applyFill="1" applyBorder="1" applyAlignment="1" applyProtection="1">
      <alignment horizontal="left" vertical="center"/>
      <protection hidden="1"/>
    </xf>
    <xf numFmtId="0" fontId="38" fillId="5" borderId="12" xfId="0" applyFont="1" applyFill="1" applyBorder="1" applyAlignment="1" applyProtection="1">
      <alignment horizontal="left" vertical="center"/>
      <protection hidden="1"/>
    </xf>
    <xf numFmtId="0" fontId="38" fillId="5" borderId="13" xfId="0" applyFont="1" applyFill="1" applyBorder="1" applyAlignment="1" applyProtection="1">
      <alignment horizontal="left" vertical="center"/>
      <protection hidden="1"/>
    </xf>
    <xf numFmtId="0" fontId="38" fillId="5" borderId="8" xfId="0" applyFont="1" applyFill="1" applyBorder="1" applyAlignment="1" applyProtection="1">
      <alignment horizontal="left" vertical="center"/>
      <protection hidden="1"/>
    </xf>
    <xf numFmtId="0" fontId="38" fillId="5" borderId="14" xfId="0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alignment horizontal="left" vertical="center"/>
      <protection hidden="1"/>
    </xf>
    <xf numFmtId="0" fontId="52" fillId="4" borderId="0" xfId="0" applyFont="1" applyFill="1" applyBorder="1" applyAlignment="1" applyProtection="1">
      <alignment vertical="center"/>
      <protection hidden="1"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38" fillId="5" borderId="14" xfId="0" applyFont="1" applyFill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8" fillId="5" borderId="11" xfId="0" applyFont="1" applyFill="1" applyBorder="1" applyAlignment="1" applyProtection="1">
      <alignment vertical="center"/>
      <protection hidden="1"/>
    </xf>
    <xf numFmtId="0" fontId="38" fillId="5" borderId="13" xfId="0" applyFont="1" applyFill="1" applyBorder="1" applyAlignment="1" applyProtection="1">
      <alignment vertical="center"/>
      <protection hidden="1"/>
    </xf>
    <xf numFmtId="0" fontId="38" fillId="5" borderId="12" xfId="0" applyFont="1" applyFill="1" applyBorder="1" applyAlignment="1" applyProtection="1">
      <alignment vertical="center"/>
      <protection hidden="1"/>
    </xf>
    <xf numFmtId="0" fontId="38" fillId="5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11" fontId="28" fillId="2" borderId="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76200</xdr:rowOff>
    </xdr:from>
    <xdr:to>
      <xdr:col>12</xdr:col>
      <xdr:colOff>361950</xdr:colOff>
      <xdr:row>5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57475" y="238125"/>
          <a:ext cx="49815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POPREČNO STRUJANJE U OMOTAČU
- prelaz toplote i pad pritiska 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276225</xdr:colOff>
      <xdr:row>4</xdr:row>
      <xdr:rowOff>104775</xdr:rowOff>
    </xdr:to>
    <xdr:sp>
      <xdr:nvSpPr>
        <xdr:cNvPr id="3" name="TextBox 115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4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4" width="9.00390625" style="2" customWidth="1"/>
    <col min="5" max="5" width="10.7109375" style="4" customWidth="1"/>
    <col min="6" max="6" width="9.00390625" style="2" customWidth="1"/>
    <col min="7" max="7" width="6.7109375" style="2" customWidth="1"/>
    <col min="8" max="11" width="9.00390625" style="2" customWidth="1"/>
    <col min="12" max="12" width="10.7109375" style="2" customWidth="1"/>
    <col min="13" max="13" width="9.00390625" style="2" customWidth="1"/>
    <col min="14" max="16384" width="9.140625" style="2" customWidth="1"/>
  </cols>
  <sheetData>
    <row r="1" s="9" customFormat="1" ht="12.75">
      <c r="M1" s="109" t="e">
        <f>#REF!</f>
        <v>#REF!</v>
      </c>
    </row>
    <row r="2" s="9" customFormat="1" ht="12.75"/>
    <row r="3" s="9" customFormat="1" ht="12.75"/>
    <row r="4" s="9" customFormat="1" ht="12.75"/>
    <row r="5" spans="5:6" s="9" customFormat="1" ht="12.75" customHeight="1">
      <c r="E5" s="21"/>
      <c r="F5" s="10"/>
    </row>
    <row r="6" spans="5:13" s="9" customFormat="1" ht="12.75" customHeight="1">
      <c r="E6" s="21"/>
      <c r="F6" s="10"/>
      <c r="M6" s="121"/>
    </row>
    <row r="7" spans="5:13" s="9" customFormat="1" ht="12.75" customHeight="1">
      <c r="E7" s="21"/>
      <c r="F7" s="10"/>
      <c r="M7" s="122"/>
    </row>
    <row r="8" spans="1:13" s="3" customFormat="1" ht="15">
      <c r="A8" s="38"/>
      <c r="B8" s="40" t="s">
        <v>38</v>
      </c>
      <c r="C8" s="151" t="s">
        <v>14</v>
      </c>
      <c r="D8" s="152"/>
      <c r="E8" s="40"/>
      <c r="F8" s="41"/>
      <c r="G8" s="42"/>
      <c r="H8" s="42"/>
      <c r="I8" s="42"/>
      <c r="J8" s="42"/>
      <c r="K8" s="42"/>
      <c r="L8" s="42"/>
      <c r="M8" s="38"/>
    </row>
    <row r="9" spans="1:13" s="22" customFormat="1" ht="15.75" customHeight="1">
      <c r="A9" s="146" t="s">
        <v>16</v>
      </c>
      <c r="B9" s="55"/>
      <c r="C9" s="55"/>
      <c r="D9" s="115"/>
      <c r="E9" s="5" t="s">
        <v>34</v>
      </c>
      <c r="F9" s="36" t="s">
        <v>33</v>
      </c>
      <c r="G9" s="44"/>
      <c r="H9" s="156" t="s">
        <v>233</v>
      </c>
      <c r="I9" s="107"/>
      <c r="J9" s="107"/>
      <c r="K9" s="117" t="s">
        <v>60</v>
      </c>
      <c r="L9" s="13">
        <v>4.178</v>
      </c>
      <c r="M9" s="46" t="s">
        <v>119</v>
      </c>
    </row>
    <row r="10" spans="1:13" s="22" customFormat="1" ht="15.75" customHeight="1">
      <c r="A10" s="150" t="s">
        <v>49</v>
      </c>
      <c r="B10" s="45"/>
      <c r="C10" s="45"/>
      <c r="D10" s="113" t="s">
        <v>70</v>
      </c>
      <c r="E10" s="114">
        <v>50</v>
      </c>
      <c r="F10" s="1">
        <v>52.05</v>
      </c>
      <c r="G10" s="44"/>
      <c r="H10" s="156" t="s">
        <v>234</v>
      </c>
      <c r="I10" s="107"/>
      <c r="J10" s="107"/>
      <c r="K10" s="118" t="s">
        <v>61</v>
      </c>
      <c r="L10" s="13">
        <v>0.000647</v>
      </c>
      <c r="M10" s="159" t="s">
        <v>15</v>
      </c>
    </row>
    <row r="11" spans="1:13" s="22" customFormat="1" ht="15.75" customHeight="1">
      <c r="A11" s="154" t="s">
        <v>194</v>
      </c>
      <c r="B11" s="45"/>
      <c r="C11" s="45"/>
      <c r="D11" s="116" t="s">
        <v>71</v>
      </c>
      <c r="E11" s="13">
        <v>988.1</v>
      </c>
      <c r="F11" s="11">
        <v>987.1</v>
      </c>
      <c r="G11" s="44"/>
      <c r="H11" s="156" t="s">
        <v>43</v>
      </c>
      <c r="I11" s="107"/>
      <c r="J11" s="107"/>
      <c r="K11" s="119" t="s">
        <v>62</v>
      </c>
      <c r="L11" s="13">
        <v>26000</v>
      </c>
      <c r="M11" s="73" t="s">
        <v>120</v>
      </c>
    </row>
    <row r="12" spans="1:13" s="22" customFormat="1" ht="15.75" customHeight="1">
      <c r="A12" s="154" t="s">
        <v>195</v>
      </c>
      <c r="B12" s="45"/>
      <c r="C12" s="45"/>
      <c r="D12" s="116" t="s">
        <v>72</v>
      </c>
      <c r="E12" s="13">
        <f>5.558*10^-7</f>
        <v>5.557999999999999E-07</v>
      </c>
      <c r="F12" s="161">
        <v>5.4E-07</v>
      </c>
      <c r="G12" s="44"/>
      <c r="H12" s="154" t="s">
        <v>235</v>
      </c>
      <c r="I12" s="45"/>
      <c r="J12" s="45"/>
      <c r="K12" s="120" t="s">
        <v>63</v>
      </c>
      <c r="L12" s="108">
        <f>IF(F10="",1,E11*E12/(F11*F12))</f>
        <v>1.0303019694803708</v>
      </c>
      <c r="M12" s="47">
        <f>E12*E11*L9/L10</f>
        <v>3.5463663438021635</v>
      </c>
    </row>
    <row r="13" spans="1:13" s="22" customFormat="1" ht="15.75" customHeight="1">
      <c r="A13" s="155"/>
      <c r="B13" s="40" t="s">
        <v>39</v>
      </c>
      <c r="C13" s="151" t="s">
        <v>189</v>
      </c>
      <c r="D13" s="39"/>
      <c r="E13" s="40"/>
      <c r="F13" s="41"/>
      <c r="G13" s="42"/>
      <c r="H13" s="42"/>
      <c r="I13" s="42"/>
      <c r="J13" s="42"/>
      <c r="K13" s="42"/>
      <c r="L13" s="42"/>
      <c r="M13" s="38"/>
    </row>
    <row r="14" spans="1:15" s="22" customFormat="1" ht="15.75" customHeight="1">
      <c r="A14" s="146" t="s">
        <v>181</v>
      </c>
      <c r="B14" s="48"/>
      <c r="C14" s="49"/>
      <c r="D14" s="50"/>
      <c r="E14" s="113" t="s">
        <v>92</v>
      </c>
      <c r="F14" s="11">
        <v>0.49</v>
      </c>
      <c r="G14" s="44"/>
      <c r="H14" s="150" t="s">
        <v>184</v>
      </c>
      <c r="I14" s="51"/>
      <c r="J14" s="52"/>
      <c r="K14" s="53"/>
      <c r="L14" s="130" t="s">
        <v>95</v>
      </c>
      <c r="M14" s="54">
        <f>F14/2-E19-(F26-1)*E18</f>
        <v>0.11399999999999999</v>
      </c>
      <c r="O14" s="23"/>
    </row>
    <row r="15" spans="1:13" s="7" customFormat="1" ht="15.75" customHeight="1">
      <c r="A15" s="156" t="s">
        <v>182</v>
      </c>
      <c r="B15" s="55"/>
      <c r="C15" s="55"/>
      <c r="D15" s="19" t="s">
        <v>59</v>
      </c>
      <c r="E15" s="110" t="s">
        <v>93</v>
      </c>
      <c r="F15" s="11">
        <v>0.018</v>
      </c>
      <c r="H15" s="154" t="s">
        <v>236</v>
      </c>
      <c r="I15" s="43"/>
      <c r="J15" s="43"/>
      <c r="K15" s="56"/>
      <c r="L15" s="110" t="s">
        <v>64</v>
      </c>
      <c r="M15" s="57">
        <f>4*F23*M31/(F25*F15*PI()+F14*PI()*M27/360+F14*SIN(M27*PI()/360))</f>
        <v>0.022075818592806006</v>
      </c>
    </row>
    <row r="16" spans="1:86" s="9" customFormat="1" ht="15.75" customHeight="1">
      <c r="A16" s="148" t="s">
        <v>186</v>
      </c>
      <c r="B16" s="58"/>
      <c r="C16" s="59"/>
      <c r="D16" s="60"/>
      <c r="E16" s="110" t="s">
        <v>94</v>
      </c>
      <c r="F16" s="11">
        <v>0.016</v>
      </c>
      <c r="H16" s="154" t="s">
        <v>238</v>
      </c>
      <c r="I16" s="43"/>
      <c r="J16" s="43"/>
      <c r="K16" s="56"/>
      <c r="L16" s="110" t="s">
        <v>121</v>
      </c>
      <c r="M16" s="47">
        <f>F20-F26+0.5</f>
        <v>7.5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1:86" s="9" customFormat="1" ht="15.75" customHeight="1">
      <c r="A17" s="147" t="s">
        <v>0</v>
      </c>
      <c r="B17" s="61"/>
      <c r="C17" s="62"/>
      <c r="D17" s="153" t="s">
        <v>190</v>
      </c>
      <c r="E17" s="63"/>
      <c r="F17" s="6">
        <v>1</v>
      </c>
      <c r="G17" s="44"/>
      <c r="H17" s="154" t="s">
        <v>239</v>
      </c>
      <c r="I17" s="43"/>
      <c r="J17" s="43"/>
      <c r="K17" s="56"/>
      <c r="L17" s="110" t="s">
        <v>122</v>
      </c>
      <c r="M17" s="57">
        <f>IF(0.8*M14/E18&lt;2*(F20-M20/2),0.8*M14/E18,2*(F20-M20/2))</f>
        <v>7.015384615384616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85" s="9" customFormat="1" ht="15.75" customHeight="1">
      <c r="A18" s="146" t="s">
        <v>42</v>
      </c>
      <c r="B18" s="48"/>
      <c r="C18" s="49"/>
      <c r="D18" s="123" t="s">
        <v>65</v>
      </c>
      <c r="E18" s="13">
        <v>0.013</v>
      </c>
      <c r="F18" s="11">
        <v>0.0195</v>
      </c>
      <c r="G18" s="44"/>
      <c r="H18" s="154" t="s">
        <v>240</v>
      </c>
      <c r="I18" s="43"/>
      <c r="J18" s="43"/>
      <c r="K18" s="56"/>
      <c r="L18" s="130" t="s">
        <v>68</v>
      </c>
      <c r="M18" s="57">
        <f>ROUND((F23*(F32-0.05-IF(D15="U cev",1,2)*0.05)-F27*F29)/F27,3)</f>
        <v>0.242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6" s="9" customFormat="1" ht="15.75" customHeight="1">
      <c r="A19" s="148" t="s">
        <v>197</v>
      </c>
      <c r="B19" s="58"/>
      <c r="C19" s="59"/>
      <c r="D19" s="112" t="s">
        <v>66</v>
      </c>
      <c r="E19" s="14">
        <v>0.014</v>
      </c>
      <c r="F19" s="12">
        <v>0.0225</v>
      </c>
      <c r="G19" s="44"/>
      <c r="H19" s="154" t="s">
        <v>241</v>
      </c>
      <c r="I19" s="43"/>
      <c r="J19" s="43"/>
      <c r="K19" s="56"/>
      <c r="L19" s="130" t="s">
        <v>69</v>
      </c>
      <c r="M19" s="64">
        <f>IF(M18&gt;2.5*M38/1000,M18,ROUND(2.5*M38/1000,3))</f>
        <v>0.25</v>
      </c>
      <c r="N19" s="24"/>
      <c r="O19" s="25"/>
      <c r="P19" s="26"/>
      <c r="Q19" s="2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1:13" s="9" customFormat="1" ht="15.75" customHeight="1">
      <c r="A20" s="147" t="s">
        <v>35</v>
      </c>
      <c r="B20" s="61"/>
      <c r="C20" s="62"/>
      <c r="D20" s="65"/>
      <c r="E20" s="110" t="s">
        <v>158</v>
      </c>
      <c r="F20" s="11">
        <v>17</v>
      </c>
      <c r="G20" s="44"/>
      <c r="H20" s="150" t="s">
        <v>242</v>
      </c>
      <c r="I20" s="51"/>
      <c r="J20" s="52"/>
      <c r="K20" s="66"/>
      <c r="L20" s="110" t="s">
        <v>123</v>
      </c>
      <c r="M20" s="47">
        <f>2*F26-IF(F22=1,-1,IF(F22=2,-1,IF(F22=4,0,IF(F22=6,1,2))))</f>
        <v>19</v>
      </c>
    </row>
    <row r="21" spans="1:13" s="9" customFormat="1" ht="15.75" customHeight="1">
      <c r="A21" s="148" t="s">
        <v>36</v>
      </c>
      <c r="B21" s="58"/>
      <c r="C21" s="59"/>
      <c r="D21" s="67"/>
      <c r="E21" s="110" t="s">
        <v>159</v>
      </c>
      <c r="F21" s="11">
        <v>11</v>
      </c>
      <c r="G21" s="68"/>
      <c r="H21" s="150" t="s">
        <v>53</v>
      </c>
      <c r="I21" s="51"/>
      <c r="J21" s="52"/>
      <c r="K21" s="66"/>
      <c r="L21" s="110" t="s">
        <v>124</v>
      </c>
      <c r="M21" s="47">
        <f>F20+F26-0.5+IF(F23=1,1,0)</f>
        <v>26.5</v>
      </c>
    </row>
    <row r="22" spans="1:17" s="9" customFormat="1" ht="15.75" customHeight="1">
      <c r="A22" s="147" t="s">
        <v>37</v>
      </c>
      <c r="B22" s="61"/>
      <c r="C22" s="62"/>
      <c r="D22" s="65"/>
      <c r="E22" s="110" t="s">
        <v>160</v>
      </c>
      <c r="F22" s="11">
        <v>6</v>
      </c>
      <c r="G22" s="69"/>
      <c r="H22" s="98"/>
      <c r="I22" s="70"/>
      <c r="J22" s="70"/>
      <c r="K22" s="70"/>
      <c r="L22" s="70"/>
      <c r="M22" s="70"/>
      <c r="N22" s="24"/>
      <c r="O22" s="28"/>
      <c r="P22" s="29"/>
      <c r="Q22" s="30"/>
    </row>
    <row r="23" spans="1:16" s="9" customFormat="1" ht="15.75" customHeight="1">
      <c r="A23" s="148" t="s">
        <v>179</v>
      </c>
      <c r="B23" s="58"/>
      <c r="C23" s="59"/>
      <c r="D23" s="67"/>
      <c r="E23" s="110" t="s">
        <v>161</v>
      </c>
      <c r="F23" s="11">
        <v>2</v>
      </c>
      <c r="G23" s="71"/>
      <c r="H23" s="154" t="s">
        <v>237</v>
      </c>
      <c r="I23" s="43"/>
      <c r="J23" s="43"/>
      <c r="K23" s="56"/>
      <c r="L23" s="130" t="s">
        <v>76</v>
      </c>
      <c r="M23" s="57">
        <f>2*F30-F15</f>
        <v>0.010000000000000002</v>
      </c>
      <c r="N23" s="24"/>
      <c r="O23" s="31"/>
      <c r="P23" s="32"/>
    </row>
    <row r="24" spans="1:13" s="9" customFormat="1" ht="15.75" customHeight="1">
      <c r="A24" s="149" t="s">
        <v>180</v>
      </c>
      <c r="B24" s="58"/>
      <c r="C24" s="59"/>
      <c r="D24" s="72"/>
      <c r="E24" s="130" t="s">
        <v>67</v>
      </c>
      <c r="F24" s="11">
        <v>282</v>
      </c>
      <c r="G24" s="71"/>
      <c r="H24" s="154" t="s">
        <v>55</v>
      </c>
      <c r="I24" s="43"/>
      <c r="J24" s="43"/>
      <c r="K24" s="56"/>
      <c r="L24" s="130" t="s">
        <v>77</v>
      </c>
      <c r="M24" s="74">
        <f>2*F19-F15-F29</f>
        <v>0.024</v>
      </c>
    </row>
    <row r="25" spans="1:16" s="9" customFormat="1" ht="15.75" customHeight="1">
      <c r="A25" s="150" t="s">
        <v>185</v>
      </c>
      <c r="B25" s="51"/>
      <c r="C25" s="52"/>
      <c r="D25" s="66"/>
      <c r="E25" s="110" t="s">
        <v>162</v>
      </c>
      <c r="F25" s="11">
        <v>50</v>
      </c>
      <c r="G25" s="71"/>
      <c r="H25" s="154" t="s">
        <v>243</v>
      </c>
      <c r="I25" s="43"/>
      <c r="J25" s="43"/>
      <c r="K25" s="56"/>
      <c r="L25" s="130" t="s">
        <v>78</v>
      </c>
      <c r="M25" s="11">
        <v>0.001</v>
      </c>
      <c r="N25" s="24"/>
      <c r="O25" s="33"/>
      <c r="P25" s="34"/>
    </row>
    <row r="26" spans="1:15" s="9" customFormat="1" ht="15.75" customHeight="1">
      <c r="A26" s="150" t="s">
        <v>183</v>
      </c>
      <c r="B26" s="51"/>
      <c r="C26" s="52"/>
      <c r="D26" s="66"/>
      <c r="E26" s="110" t="s">
        <v>163</v>
      </c>
      <c r="F26" s="11">
        <v>10</v>
      </c>
      <c r="G26" s="70"/>
      <c r="H26" s="154" t="s">
        <v>244</v>
      </c>
      <c r="I26" s="43"/>
      <c r="J26" s="43"/>
      <c r="K26" s="56"/>
      <c r="L26" s="130" t="s">
        <v>79</v>
      </c>
      <c r="M26" s="57">
        <f>IF(M23&lt;0.004,0.004,M23/2)</f>
        <v>0.005000000000000001</v>
      </c>
      <c r="N26" s="24"/>
      <c r="O26" s="31"/>
    </row>
    <row r="27" spans="1:13" s="9" customFormat="1" ht="15.75" customHeight="1">
      <c r="A27" s="154" t="s">
        <v>198</v>
      </c>
      <c r="B27" s="45"/>
      <c r="C27" s="45"/>
      <c r="D27" s="66"/>
      <c r="E27" s="110" t="s">
        <v>164</v>
      </c>
      <c r="F27" s="11">
        <v>20</v>
      </c>
      <c r="G27" s="75"/>
      <c r="H27" s="154" t="s">
        <v>245</v>
      </c>
      <c r="I27" s="43"/>
      <c r="J27" s="43"/>
      <c r="K27" s="56"/>
      <c r="L27" s="111" t="s">
        <v>96</v>
      </c>
      <c r="M27" s="76">
        <f>ROUND((180/PI())*2*ACOS((F14-2*M14)/F14),1)</f>
        <v>115.4</v>
      </c>
    </row>
    <row r="28" spans="1:13" s="9" customFormat="1" ht="15.75" customHeight="1">
      <c r="A28" s="154" t="s">
        <v>199</v>
      </c>
      <c r="B28" s="45"/>
      <c r="C28" s="45"/>
      <c r="D28" s="66"/>
      <c r="E28" s="110" t="s">
        <v>176</v>
      </c>
      <c r="F28" s="11">
        <v>0</v>
      </c>
      <c r="G28" s="71"/>
      <c r="H28" s="154" t="s">
        <v>246</v>
      </c>
      <c r="I28" s="43"/>
      <c r="J28" s="43"/>
      <c r="K28" s="56"/>
      <c r="L28" s="110" t="s">
        <v>80</v>
      </c>
      <c r="M28" s="76">
        <f>PI()*(F14-M26/2)*M26*(360-M27)/(2*360*F23)</f>
        <v>0.0013007338958183367</v>
      </c>
    </row>
    <row r="29" spans="1:13" s="9" customFormat="1" ht="15.75" customHeight="1">
      <c r="A29" s="146" t="s">
        <v>56</v>
      </c>
      <c r="B29" s="48"/>
      <c r="C29" s="49"/>
      <c r="D29" s="50"/>
      <c r="E29" s="129" t="s">
        <v>73</v>
      </c>
      <c r="F29" s="11">
        <v>0.003</v>
      </c>
      <c r="G29" s="70"/>
      <c r="H29" s="154" t="s">
        <v>247</v>
      </c>
      <c r="I29" s="43"/>
      <c r="J29" s="43"/>
      <c r="K29" s="56"/>
      <c r="L29" s="110" t="s">
        <v>81</v>
      </c>
      <c r="M29" s="76">
        <f>PI()*(F24-F25)*((F15+M25)^2-F15^2)/(4*F23)</f>
        <v>0.0033709289173018513</v>
      </c>
    </row>
    <row r="30" spans="1:13" s="9" customFormat="1" ht="15.75" customHeight="1">
      <c r="A30" s="147" t="s">
        <v>196</v>
      </c>
      <c r="B30" s="61"/>
      <c r="C30" s="62"/>
      <c r="D30" s="65"/>
      <c r="E30" s="129" t="s">
        <v>90</v>
      </c>
      <c r="F30" s="11">
        <v>0.014</v>
      </c>
      <c r="G30" s="70"/>
      <c r="H30" s="154" t="s">
        <v>248</v>
      </c>
      <c r="I30" s="43"/>
      <c r="J30" s="43"/>
      <c r="K30" s="56"/>
      <c r="L30" s="110" t="s">
        <v>82</v>
      </c>
      <c r="M30" s="76">
        <f>M18*(M23+M24)/F23</f>
        <v>0.0041140000000000005</v>
      </c>
    </row>
    <row r="31" spans="1:13" s="9" customFormat="1" ht="15.75" customHeight="1">
      <c r="A31" s="148" t="s">
        <v>200</v>
      </c>
      <c r="B31" s="58"/>
      <c r="C31" s="59"/>
      <c r="D31" s="77"/>
      <c r="E31" s="129" t="s">
        <v>74</v>
      </c>
      <c r="F31" s="47">
        <f>MIN(2*F18-F15,2*E18-F15,(E18^2+F18^2)^0.5-F15)</f>
        <v>0.005436083290515932</v>
      </c>
      <c r="G31" s="70"/>
      <c r="H31" s="154" t="s">
        <v>249</v>
      </c>
      <c r="I31" s="43"/>
      <c r="J31" s="43"/>
      <c r="K31" s="56"/>
      <c r="L31" s="110" t="s">
        <v>83</v>
      </c>
      <c r="M31" s="76">
        <f>(PI()*M27*F14^2/(4*360)-F14^2*SIN(M27*PI()/180)/8)/F23-F25*F15^2*PI()/(4*F23)</f>
        <v>0.010306837177202615</v>
      </c>
    </row>
    <row r="32" spans="1:15" s="9" customFormat="1" ht="15.75" customHeight="1">
      <c r="A32" s="147" t="s">
        <v>187</v>
      </c>
      <c r="B32" s="61"/>
      <c r="C32" s="62"/>
      <c r="D32" s="65"/>
      <c r="E32" s="110" t="s">
        <v>91</v>
      </c>
      <c r="F32" s="11">
        <v>2.6</v>
      </c>
      <c r="G32" s="70"/>
      <c r="H32" s="70"/>
      <c r="I32" s="70"/>
      <c r="J32" s="70"/>
      <c r="K32" s="70"/>
      <c r="L32" s="70"/>
      <c r="M32" s="70"/>
      <c r="N32" s="24"/>
      <c r="O32" s="35"/>
    </row>
    <row r="33" spans="1:13" s="9" customFormat="1" ht="15.75" customHeight="1">
      <c r="A33" s="157" t="s">
        <v>188</v>
      </c>
      <c r="B33" s="78"/>
      <c r="C33" s="78"/>
      <c r="D33" s="60"/>
      <c r="E33" s="110" t="s">
        <v>75</v>
      </c>
      <c r="F33" s="11">
        <v>0.2175</v>
      </c>
      <c r="G33" s="70"/>
      <c r="H33" s="70"/>
      <c r="I33" s="70"/>
      <c r="J33" s="70"/>
      <c r="K33" s="70"/>
      <c r="L33" s="70"/>
      <c r="M33" s="70"/>
    </row>
    <row r="34" spans="1:13" s="8" customFormat="1" ht="15.75" customHeight="1">
      <c r="A34" s="150" t="s">
        <v>201</v>
      </c>
      <c r="B34" s="51"/>
      <c r="C34" s="52"/>
      <c r="D34" s="66"/>
      <c r="E34" s="110" t="s">
        <v>98</v>
      </c>
      <c r="F34" s="47">
        <f>IF(D15="U cev",F33*PI()/2,0)+F23*F32</f>
        <v>5.2</v>
      </c>
      <c r="G34" s="69"/>
      <c r="H34" s="69"/>
      <c r="I34" s="69"/>
      <c r="J34" s="69"/>
      <c r="K34" s="69"/>
      <c r="L34" s="69"/>
      <c r="M34" s="69"/>
    </row>
    <row r="35" spans="1:13" s="8" customFormat="1" ht="15.75" customHeight="1">
      <c r="A35" s="69"/>
      <c r="B35" s="40" t="s">
        <v>40</v>
      </c>
      <c r="C35" s="151" t="s">
        <v>191</v>
      </c>
      <c r="D35" s="39"/>
      <c r="E35" s="40"/>
      <c r="F35" s="41"/>
      <c r="G35" s="42"/>
      <c r="H35" s="42"/>
      <c r="I35" s="42"/>
      <c r="J35" s="42"/>
      <c r="K35" s="42"/>
      <c r="L35" s="18">
        <v>100</v>
      </c>
      <c r="M35" s="69" t="s">
        <v>27</v>
      </c>
    </row>
    <row r="36" spans="1:13" s="8" customFormat="1" ht="15.75" customHeight="1">
      <c r="A36" s="150" t="s">
        <v>44</v>
      </c>
      <c r="B36" s="51"/>
      <c r="C36" s="52"/>
      <c r="D36" s="66"/>
      <c r="E36" s="132" t="s">
        <v>125</v>
      </c>
      <c r="F36" s="20">
        <f>M37</f>
        <v>180827.9967262358</v>
      </c>
      <c r="G36" s="69"/>
      <c r="H36" s="154" t="s">
        <v>250</v>
      </c>
      <c r="I36" s="43"/>
      <c r="J36" s="43"/>
      <c r="K36" s="56"/>
      <c r="L36" s="131" t="s">
        <v>84</v>
      </c>
      <c r="M36" s="57">
        <f>4*(L11/(3600*E11))/(PI()*F38^2)</f>
        <v>1.085396359196284</v>
      </c>
    </row>
    <row r="37" spans="1:13" s="8" customFormat="1" ht="15.75" customHeight="1">
      <c r="A37" s="150" t="s">
        <v>26</v>
      </c>
      <c r="B37" s="51"/>
      <c r="C37" s="52"/>
      <c r="D37" s="66"/>
      <c r="E37" s="129" t="s">
        <v>165</v>
      </c>
      <c r="F37" s="47">
        <f>(1.82*LOG(F36)-1.64)^-2</f>
        <v>0.015909195858080146</v>
      </c>
      <c r="G37" s="69"/>
      <c r="H37" s="150" t="s">
        <v>251</v>
      </c>
      <c r="I37" s="51"/>
      <c r="J37" s="52"/>
      <c r="K37" s="66"/>
      <c r="L37" s="132" t="s">
        <v>125</v>
      </c>
      <c r="M37" s="47">
        <f>F38*M36/E12</f>
        <v>180827.9967262358</v>
      </c>
    </row>
    <row r="38" spans="1:13" s="8" customFormat="1" ht="15.75" customHeight="1">
      <c r="A38" s="150" t="s">
        <v>202</v>
      </c>
      <c r="B38" s="51"/>
      <c r="C38" s="52"/>
      <c r="D38" s="66"/>
      <c r="E38" s="130" t="s">
        <v>97</v>
      </c>
      <c r="F38" s="47">
        <f>(8*F37*(L11/(3600*E11))^2*E11/(PI()^2*L35))^0.2</f>
        <v>0.09259677326987106</v>
      </c>
      <c r="G38" s="69"/>
      <c r="H38" s="150" t="s">
        <v>252</v>
      </c>
      <c r="I38" s="51"/>
      <c r="J38" s="52"/>
      <c r="K38" s="66"/>
      <c r="L38" s="133" t="s">
        <v>45</v>
      </c>
      <c r="M38" s="79">
        <f>IF(F38&lt;0.025,25,IF(F38&lt;0.032,32,IF(F38&lt;0.04,40,IF(F38&lt;0.05,50,IF(F38&lt;0.065,65,IF(F38&lt;0.08,80,IF(F38&lt;0.1,100,IF(F38&lt;0.125,125,150))))))))</f>
        <v>100</v>
      </c>
    </row>
    <row r="39" spans="1:13" s="8" customFormat="1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s="8" customFormat="1" ht="15.75" customHeight="1">
      <c r="A40" s="69"/>
      <c r="B40" s="40" t="s">
        <v>41</v>
      </c>
      <c r="C40" s="151" t="s">
        <v>192</v>
      </c>
      <c r="D40" s="39"/>
      <c r="E40" s="40"/>
      <c r="F40" s="41"/>
      <c r="G40" s="42"/>
      <c r="H40" s="42"/>
      <c r="I40" s="42"/>
      <c r="J40" s="42"/>
      <c r="K40" s="42"/>
      <c r="L40" s="42"/>
      <c r="M40" s="69"/>
    </row>
    <row r="41" spans="1:13" s="8" customFormat="1" ht="15.75" customHeight="1">
      <c r="A41" s="69"/>
      <c r="B41" s="80" t="s">
        <v>57</v>
      </c>
      <c r="C41" s="81"/>
      <c r="D41" s="81"/>
      <c r="E41" s="81"/>
      <c r="F41" s="70"/>
      <c r="G41" s="70"/>
      <c r="H41" s="70"/>
      <c r="I41" s="80" t="s">
        <v>58</v>
      </c>
      <c r="J41" s="81"/>
      <c r="K41" s="81"/>
      <c r="L41" s="81"/>
      <c r="M41" s="69"/>
    </row>
    <row r="42" spans="1:13" s="8" customFormat="1" ht="15.75" customHeight="1">
      <c r="A42" s="146" t="s">
        <v>205</v>
      </c>
      <c r="B42" s="48"/>
      <c r="C42" s="49"/>
      <c r="D42" s="82"/>
      <c r="E42" s="126" t="s">
        <v>85</v>
      </c>
      <c r="F42" s="47">
        <f>F15*PI()/2</f>
        <v>0.028274333882308135</v>
      </c>
      <c r="G42" s="83"/>
      <c r="H42" s="156" t="s">
        <v>253</v>
      </c>
      <c r="I42" s="55"/>
      <c r="J42" s="55"/>
      <c r="K42" s="84"/>
      <c r="L42" s="130" t="s">
        <v>99</v>
      </c>
      <c r="M42" s="76">
        <f>2*((F14/2-F30)^2-IF(F22=2,0,IF(F22=6,0,E19^2)))^0.5</f>
        <v>0.46199999999999997</v>
      </c>
    </row>
    <row r="43" spans="1:13" s="8" customFormat="1" ht="15.75" customHeight="1">
      <c r="A43" s="147" t="s">
        <v>206</v>
      </c>
      <c r="B43" s="61"/>
      <c r="C43" s="62"/>
      <c r="D43" s="65"/>
      <c r="E43" s="126" t="s">
        <v>86</v>
      </c>
      <c r="F43" s="47">
        <f>F14*M18/F23</f>
        <v>0.059289999999999995</v>
      </c>
      <c r="G43" s="85"/>
      <c r="H43" s="158" t="s">
        <v>17</v>
      </c>
      <c r="I43" s="86"/>
      <c r="J43" s="86"/>
      <c r="K43" s="87"/>
      <c r="L43" s="130" t="s">
        <v>126</v>
      </c>
      <c r="M43" s="76">
        <f>2*(INT((M42/2-F19-IF(F17=1,IF(F22=2,F18,IF(F22=6,F18,0)),IF(F22=2,0,IF(F22=6,0,F18))))/(2*F18))+1)+IF(F17=1,0,1)</f>
        <v>10</v>
      </c>
    </row>
    <row r="44" spans="1:13" s="8" customFormat="1" ht="15.75" customHeight="1">
      <c r="A44" s="148" t="s">
        <v>207</v>
      </c>
      <c r="B44" s="58"/>
      <c r="C44" s="59"/>
      <c r="D44" s="67"/>
      <c r="E44" s="127" t="s">
        <v>87</v>
      </c>
      <c r="F44" s="88">
        <f>(L11/(3600*E11))/F43</f>
        <v>0.12327882817882649</v>
      </c>
      <c r="G44" s="85"/>
      <c r="H44" s="147" t="s">
        <v>254</v>
      </c>
      <c r="I44" s="61"/>
      <c r="J44" s="62"/>
      <c r="K44" s="65"/>
      <c r="L44" s="110" t="s">
        <v>100</v>
      </c>
      <c r="M44" s="47">
        <f>M18*(M42-M43*F15+2*F30-F15)/F23</f>
        <v>0.035331999999999995</v>
      </c>
    </row>
    <row r="45" spans="1:13" s="8" customFormat="1" ht="15.75" customHeight="1">
      <c r="A45" s="156" t="s">
        <v>203</v>
      </c>
      <c r="B45" s="55"/>
      <c r="C45" s="55"/>
      <c r="D45" s="84"/>
      <c r="E45" s="126" t="s">
        <v>166</v>
      </c>
      <c r="F45" s="88">
        <f>IF(D17="ŠAHOVSKI",2,1)*F18/F15</f>
        <v>2.166666666666667</v>
      </c>
      <c r="G45" s="89"/>
      <c r="H45" s="158" t="s">
        <v>255</v>
      </c>
      <c r="I45" s="86"/>
      <c r="J45" s="86"/>
      <c r="K45" s="87"/>
      <c r="L45" s="111" t="s">
        <v>101</v>
      </c>
      <c r="M45" s="47">
        <f>(L11/(3600*E11))/M44</f>
        <v>0.2068720061904965</v>
      </c>
    </row>
    <row r="46" spans="1:13" s="8" customFormat="1" ht="15.75" customHeight="1">
      <c r="A46" s="158" t="s">
        <v>204</v>
      </c>
      <c r="B46" s="86"/>
      <c r="C46" s="86"/>
      <c r="D46" s="87"/>
      <c r="E46" s="126" t="s">
        <v>141</v>
      </c>
      <c r="F46" s="88">
        <f>IF(D17="ŠAHOVSKI",2,1)*E18/F15</f>
        <v>1.4444444444444444</v>
      </c>
      <c r="G46" s="90"/>
      <c r="H46" s="157" t="s">
        <v>208</v>
      </c>
      <c r="I46" s="78"/>
      <c r="J46" s="78"/>
      <c r="K46" s="60"/>
      <c r="L46" s="128" t="s">
        <v>127</v>
      </c>
      <c r="M46" s="64">
        <f>ROUND(M45*F15/E12,0)</f>
        <v>6700</v>
      </c>
    </row>
    <row r="47" spans="1:13" s="8" customFormat="1" ht="15.75" customHeight="1">
      <c r="A47" s="148" t="s">
        <v>18</v>
      </c>
      <c r="B47" s="58"/>
      <c r="C47" s="59"/>
      <c r="D47" s="67"/>
      <c r="E47" s="127" t="s">
        <v>167</v>
      </c>
      <c r="F47" s="88">
        <f>IF(F46&gt;=1,1-PI()/(4*F45),1-PI()/(4*F45*F46))</f>
        <v>0.6375085399704086</v>
      </c>
      <c r="G47" s="91"/>
      <c r="H47" s="156" t="s">
        <v>1</v>
      </c>
      <c r="I47" s="55"/>
      <c r="J47" s="55"/>
      <c r="K47" s="92"/>
      <c r="L47" s="126" t="s">
        <v>128</v>
      </c>
      <c r="M47" s="79">
        <f>IF(M46&lt;10,1.4,IF(M46&lt;100,1.36,IF(M46&lt;1000,0.593,0.321)))</f>
        <v>0.321</v>
      </c>
    </row>
    <row r="48" spans="1:13" s="8" customFormat="1" ht="15.75" customHeight="1">
      <c r="A48" s="150" t="s">
        <v>208</v>
      </c>
      <c r="B48" s="51"/>
      <c r="C48" s="52"/>
      <c r="D48" s="66"/>
      <c r="E48" s="128" t="s">
        <v>168</v>
      </c>
      <c r="F48" s="47">
        <f>ROUND(F44*F42/(E12*F47),0)</f>
        <v>9837</v>
      </c>
      <c r="G48" s="91"/>
      <c r="H48" s="158" t="s">
        <v>1</v>
      </c>
      <c r="I48" s="86"/>
      <c r="J48" s="86"/>
      <c r="K48" s="93"/>
      <c r="L48" s="126" t="s">
        <v>129</v>
      </c>
      <c r="M48" s="79">
        <f>IF(M46&lt;10,0.333,IF(M46&lt;100,0.343,IF(M46&lt;1000,0.523,0.6121)))</f>
        <v>0.6121</v>
      </c>
    </row>
    <row r="49" spans="1:13" s="9" customFormat="1" ht="15.75" customHeight="1">
      <c r="A49" s="146" t="s">
        <v>19</v>
      </c>
      <c r="B49" s="48"/>
      <c r="C49" s="49"/>
      <c r="D49" s="82"/>
      <c r="E49" s="128" t="s">
        <v>169</v>
      </c>
      <c r="F49" s="47">
        <f>0.664*F48^0.5*M12^(1/3)</f>
        <v>100.4293412381685</v>
      </c>
      <c r="G49" s="94"/>
      <c r="H49" s="157" t="s">
        <v>1</v>
      </c>
      <c r="I49" s="78"/>
      <c r="J49" s="78"/>
      <c r="K49" s="95"/>
      <c r="L49" s="126" t="s">
        <v>130</v>
      </c>
      <c r="M49" s="47">
        <f>1.45/(1+0.14*M46^0.519)</f>
        <v>0.09967312037565325</v>
      </c>
    </row>
    <row r="50" spans="1:13" s="9" customFormat="1" ht="15.75" customHeight="1">
      <c r="A50" s="148" t="s">
        <v>20</v>
      </c>
      <c r="B50" s="58"/>
      <c r="C50" s="59"/>
      <c r="D50" s="67"/>
      <c r="E50" s="128" t="s">
        <v>170</v>
      </c>
      <c r="F50" s="47">
        <f>0.037*F48^0.8*M12/(1+(2.443/F48^0.1)*(M12^(2/3)-1))</f>
        <v>89.57633227584193</v>
      </c>
      <c r="G50" s="96"/>
      <c r="H50" s="154" t="s">
        <v>22</v>
      </c>
      <c r="I50" s="43"/>
      <c r="J50" s="43"/>
      <c r="K50" s="56"/>
      <c r="L50" s="128" t="s">
        <v>131</v>
      </c>
      <c r="M50" s="47">
        <f>M47*(1.33*F15/(E18))^M49*M46^M48*M12^(1/3)*L12^0.14</f>
        <v>114.80295039541735</v>
      </c>
    </row>
    <row r="51" spans="1:13" s="9" customFormat="1" ht="15.75" customHeight="1">
      <c r="A51" s="146" t="s">
        <v>209</v>
      </c>
      <c r="B51" s="48"/>
      <c r="C51" s="49"/>
      <c r="D51" s="82"/>
      <c r="E51" s="126" t="s">
        <v>171</v>
      </c>
      <c r="F51" s="47">
        <f>IF(D17="ŠAHOVSKI",1+2/(3*F46),(0.7/F47^1.5)*(F46/F45-0.3)/(F46/F45+0.7)^2)</f>
        <v>1.4615384615384617</v>
      </c>
      <c r="G51" s="96"/>
      <c r="H51" s="154" t="s">
        <v>256</v>
      </c>
      <c r="I51" s="43"/>
      <c r="J51" s="43"/>
      <c r="K51" s="56"/>
      <c r="L51" s="126" t="s">
        <v>132</v>
      </c>
      <c r="M51" s="47">
        <f>(M20+2*INT(0.4*(M14-M23/2)/E18))*(F27-IF(F23=1,1,F23))</f>
        <v>450</v>
      </c>
    </row>
    <row r="52" spans="1:13" s="9" customFormat="1" ht="15.75" customHeight="1">
      <c r="A52" s="148" t="s">
        <v>21</v>
      </c>
      <c r="B52" s="58"/>
      <c r="C52" s="59"/>
      <c r="D52" s="67"/>
      <c r="E52" s="126" t="s">
        <v>172</v>
      </c>
      <c r="F52" s="47">
        <f>IF(M20&lt;10,M20/(1+M20),1)</f>
        <v>1</v>
      </c>
      <c r="G52" s="96"/>
      <c r="H52" s="156" t="s">
        <v>257</v>
      </c>
      <c r="I52" s="55"/>
      <c r="J52" s="55"/>
      <c r="K52" s="92"/>
      <c r="L52" s="126" t="s">
        <v>133</v>
      </c>
      <c r="M52" s="47">
        <f>0.9389+1.171*(F25/F24)^0.4-1.579*(F25/F24)^0.8</f>
        <v>1.129405806525753</v>
      </c>
    </row>
    <row r="53" spans="1:13" s="9" customFormat="1" ht="15.75" customHeight="1">
      <c r="A53" s="150" t="s">
        <v>22</v>
      </c>
      <c r="B53" s="51"/>
      <c r="C53" s="52"/>
      <c r="D53" s="66"/>
      <c r="E53" s="128" t="s">
        <v>131</v>
      </c>
      <c r="F53" s="47">
        <f>(0.3+(F49^2+F50^2)^0.5)*L12^0.14*F51*F52</f>
        <v>197.94806116309084</v>
      </c>
      <c r="G53" s="96"/>
      <c r="H53" s="158" t="s">
        <v>258</v>
      </c>
      <c r="I53" s="86"/>
      <c r="J53" s="86"/>
      <c r="K53" s="93"/>
      <c r="L53" s="126" t="s">
        <v>134</v>
      </c>
      <c r="M53" s="47">
        <f>0.44*(1-M28/(M28+M29))+(1-0.44*(1-M28/(M28+M29)))*EXP(-2.2*(M28+M29)/M44)</f>
        <v>0.8277341557428726</v>
      </c>
    </row>
    <row r="54" spans="1:13" s="9" customFormat="1" ht="15.75" customHeight="1">
      <c r="A54" s="146" t="s">
        <v>210</v>
      </c>
      <c r="B54" s="48"/>
      <c r="C54" s="49"/>
      <c r="D54" s="82"/>
      <c r="E54" s="126" t="s">
        <v>173</v>
      </c>
      <c r="F54" s="47">
        <f>1-2*F25/F24+0.654*(F25/F24)^0.32</f>
        <v>1.0213732667686488</v>
      </c>
      <c r="G54" s="96"/>
      <c r="H54" s="158" t="s">
        <v>6</v>
      </c>
      <c r="I54" s="86"/>
      <c r="J54" s="86"/>
      <c r="K54" s="93"/>
      <c r="L54" s="126" t="s">
        <v>135</v>
      </c>
      <c r="M54" s="47">
        <f>EXP(-IF(M46&lt;=100,1.35,1.25)*M30*(1-(2*F28/M20)^(1/3))/M44)</f>
        <v>0.8645484381277374</v>
      </c>
    </row>
    <row r="55" spans="1:13" s="9" customFormat="1" ht="15.75" customHeight="1">
      <c r="A55" s="147" t="s">
        <v>23</v>
      </c>
      <c r="B55" s="61"/>
      <c r="C55" s="62"/>
      <c r="D55" s="65"/>
      <c r="E55" s="126" t="s">
        <v>174</v>
      </c>
      <c r="F55" s="47">
        <f>EXP(-IF(F48&lt;100,1.5,1.35)*M23*M18*(1-(F28/M21)^(1/3))/F67)</f>
        <v>0.8308676743920692</v>
      </c>
      <c r="G55" s="68"/>
      <c r="H55" s="158" t="s">
        <v>7</v>
      </c>
      <c r="I55" s="86"/>
      <c r="J55" s="86"/>
      <c r="K55" s="93"/>
      <c r="L55" s="126" t="s">
        <v>136</v>
      </c>
      <c r="M55" s="47">
        <f>(F27-IF(F23=1,1,F23)+(M19/M18)^IF(M46&gt;100,0.4,2/3)+(M19/M18)^IF(M46&gt;100,0.4,2/3))/(F27-1+M19/M18+M19/M18)</f>
        <v>0.9506350773808111</v>
      </c>
    </row>
    <row r="56" spans="1:13" s="9" customFormat="1" ht="15.75" customHeight="1">
      <c r="A56" s="147" t="s">
        <v>211</v>
      </c>
      <c r="B56" s="61"/>
      <c r="C56" s="62"/>
      <c r="D56" s="65"/>
      <c r="E56" s="126" t="s">
        <v>175</v>
      </c>
      <c r="F56" s="47">
        <f>0.4*M29/(M29+M28)+(1-(0.4*M29/(M29+M28)))*EXP(-1.5*(M29+M28)/F67)</f>
        <v>0.7667051410264714</v>
      </c>
      <c r="G56" s="68"/>
      <c r="H56" s="157" t="s">
        <v>3</v>
      </c>
      <c r="I56" s="78"/>
      <c r="J56" s="78"/>
      <c r="K56" s="95"/>
      <c r="L56" s="126" t="s">
        <v>137</v>
      </c>
      <c r="M56" s="47">
        <f>IF(M46&gt;100,1,IF(M46&lt;=20,(10/M51)^0.18,((10/M51)^0.18+(M46-20)*((10/M51)^0.18-1)/80)))</f>
        <v>1</v>
      </c>
    </row>
    <row r="57" spans="1:13" s="9" customFormat="1" ht="15.75" customHeight="1">
      <c r="A57" s="148" t="s">
        <v>2</v>
      </c>
      <c r="B57" s="58"/>
      <c r="C57" s="59"/>
      <c r="D57" s="67"/>
      <c r="E57" s="126" t="s">
        <v>138</v>
      </c>
      <c r="F57" s="47">
        <f>F54*F55*F56</f>
        <v>0.6506459406587454</v>
      </c>
      <c r="G57" s="142" t="s">
        <v>24</v>
      </c>
      <c r="H57" s="156" t="s">
        <v>2</v>
      </c>
      <c r="I57" s="55"/>
      <c r="J57" s="55"/>
      <c r="K57" s="92"/>
      <c r="L57" s="126" t="s">
        <v>138</v>
      </c>
      <c r="M57" s="47">
        <f>M52*M53*M54*M55*M56</f>
        <v>0.7683233966826689</v>
      </c>
    </row>
    <row r="58" spans="1:13" s="9" customFormat="1" ht="15.75" customHeight="1">
      <c r="A58" s="156" t="s">
        <v>4</v>
      </c>
      <c r="B58" s="55"/>
      <c r="C58" s="55"/>
      <c r="D58" s="92"/>
      <c r="E58" s="124" t="s">
        <v>88</v>
      </c>
      <c r="F58" s="47">
        <f>L10*F53/F42</f>
        <v>4.529634406441577</v>
      </c>
      <c r="G58" s="141">
        <f>(F58-M58)/F58</f>
        <v>0.0889930837071378</v>
      </c>
      <c r="H58" s="156" t="s">
        <v>4</v>
      </c>
      <c r="I58" s="55"/>
      <c r="J58" s="55"/>
      <c r="K58" s="92"/>
      <c r="L58" s="124" t="s">
        <v>88</v>
      </c>
      <c r="M58" s="47">
        <f>L10*M50/F15</f>
        <v>4.12652827254639</v>
      </c>
    </row>
    <row r="59" spans="1:13" s="9" customFormat="1" ht="15.75" customHeight="1">
      <c r="A59" s="157" t="s">
        <v>5</v>
      </c>
      <c r="B59" s="78"/>
      <c r="C59" s="78"/>
      <c r="D59" s="95"/>
      <c r="E59" s="125" t="s">
        <v>89</v>
      </c>
      <c r="F59" s="97">
        <f>F58*F57</f>
        <v>2.9471882392193978</v>
      </c>
      <c r="G59" s="141">
        <f>(F59-M59)/F59</f>
        <v>-0.07577391110574609</v>
      </c>
      <c r="H59" s="157" t="s">
        <v>5</v>
      </c>
      <c r="I59" s="78"/>
      <c r="J59" s="78"/>
      <c r="K59" s="95"/>
      <c r="L59" s="125" t="s">
        <v>89</v>
      </c>
      <c r="M59" s="97">
        <f>M58*M57</f>
        <v>3.1705082188699087</v>
      </c>
    </row>
    <row r="60" spans="1:13" s="9" customFormat="1" ht="15.75" customHeight="1">
      <c r="A60" s="69"/>
      <c r="B60" s="70"/>
      <c r="C60" s="70"/>
      <c r="D60" s="70"/>
      <c r="E60" s="70"/>
      <c r="F60" s="70"/>
      <c r="G60" s="68"/>
      <c r="H60" s="70"/>
      <c r="I60" s="70"/>
      <c r="J60" s="70"/>
      <c r="K60" s="70"/>
      <c r="L60" s="70"/>
      <c r="M60" s="70"/>
    </row>
    <row r="61" spans="1:13" s="9" customFormat="1" ht="15.75" customHeight="1">
      <c r="A61" s="70"/>
      <c r="B61" s="70"/>
      <c r="C61" s="70"/>
      <c r="D61" s="70"/>
      <c r="E61" s="70"/>
      <c r="F61" s="70"/>
      <c r="G61" s="68"/>
      <c r="H61" s="70"/>
      <c r="I61" s="70"/>
      <c r="J61" s="70"/>
      <c r="K61" s="70"/>
      <c r="L61" s="70"/>
      <c r="M61" s="70"/>
    </row>
    <row r="62" spans="1:13" s="8" customFormat="1" ht="15.75" customHeight="1">
      <c r="A62" s="69"/>
      <c r="B62" s="40" t="s">
        <v>41</v>
      </c>
      <c r="C62" s="151" t="s">
        <v>193</v>
      </c>
      <c r="D62" s="39"/>
      <c r="E62" s="40"/>
      <c r="F62" s="41"/>
      <c r="G62" s="42"/>
      <c r="H62" s="42"/>
      <c r="I62" s="42"/>
      <c r="J62" s="42"/>
      <c r="K62" s="42"/>
      <c r="L62" s="42"/>
      <c r="M62" s="69"/>
    </row>
    <row r="63" spans="1:13" s="8" customFormat="1" ht="15.75" customHeight="1">
      <c r="A63" s="69"/>
      <c r="B63" s="80" t="s">
        <v>30</v>
      </c>
      <c r="C63" s="80" t="s">
        <v>32</v>
      </c>
      <c r="D63" s="81"/>
      <c r="E63" s="81"/>
      <c r="F63" s="70"/>
      <c r="G63" s="70"/>
      <c r="H63" s="70"/>
      <c r="I63" s="80" t="s">
        <v>30</v>
      </c>
      <c r="J63" s="80" t="s">
        <v>31</v>
      </c>
      <c r="K63" s="81"/>
      <c r="L63" s="81"/>
      <c r="M63" s="70"/>
    </row>
    <row r="64" spans="1:13" s="9" customFormat="1" ht="15.75" customHeight="1">
      <c r="A64" s="98" t="s">
        <v>215</v>
      </c>
      <c r="B64" s="70"/>
      <c r="C64" s="70"/>
      <c r="D64" s="70"/>
      <c r="E64" s="70"/>
      <c r="F64" s="98"/>
      <c r="G64" s="68"/>
      <c r="H64" s="156" t="s">
        <v>260</v>
      </c>
      <c r="I64" s="55"/>
      <c r="J64" s="55"/>
      <c r="K64" s="84"/>
      <c r="L64" s="126" t="s">
        <v>139</v>
      </c>
      <c r="M64" s="79">
        <f>IF(M46&lt;10,192,IF(M46&lt;100,180.4,IF(M46&lt;1000,18.28,IF(M46&lt;10000,1.944,1.488))))</f>
        <v>1.944</v>
      </c>
    </row>
    <row r="65" spans="1:13" s="9" customFormat="1" ht="15.75" customHeight="1">
      <c r="A65" s="156" t="s">
        <v>216</v>
      </c>
      <c r="B65" s="55"/>
      <c r="C65" s="55"/>
      <c r="D65" s="84"/>
      <c r="E65" s="110" t="s">
        <v>102</v>
      </c>
      <c r="F65" s="47">
        <f>M18*(F14-F15*IF(D17="ŠAHOVSKI",1,2)*F21)/F23</f>
        <v>0.035332</v>
      </c>
      <c r="G65" s="68"/>
      <c r="H65" s="158" t="s">
        <v>260</v>
      </c>
      <c r="I65" s="86"/>
      <c r="J65" s="86"/>
      <c r="K65" s="87"/>
      <c r="L65" s="126" t="s">
        <v>140</v>
      </c>
      <c r="M65" s="79">
        <f>IF(M46&lt;10,-1,IF(M46&lt;100,-0.973,IF(M46&lt;1000,-0.476,IF(M46&lt;10000,-0.152,-0.123))))</f>
        <v>-0.152</v>
      </c>
    </row>
    <row r="66" spans="1:13" s="9" customFormat="1" ht="15.75" customHeight="1">
      <c r="A66" s="148" t="s">
        <v>217</v>
      </c>
      <c r="B66" s="58"/>
      <c r="C66" s="59"/>
      <c r="D66" s="60"/>
      <c r="E66" s="110" t="s">
        <v>103</v>
      </c>
      <c r="F66" s="47">
        <f>2*M18*(F30+F19-F15+((E18^2+F18^2)^0.5-F15)*(F21-1))/F23</f>
        <v>0.017632321563048555</v>
      </c>
      <c r="G66" s="68"/>
      <c r="H66" s="158" t="s">
        <v>260</v>
      </c>
      <c r="I66" s="86"/>
      <c r="J66" s="86"/>
      <c r="K66" s="87"/>
      <c r="L66" s="126" t="s">
        <v>141</v>
      </c>
      <c r="M66" s="79">
        <f>7/(1+0.14*M46^0.5)</f>
        <v>0.5618205736982045</v>
      </c>
    </row>
    <row r="67" spans="1:13" s="9" customFormat="1" ht="15.75" customHeight="1">
      <c r="A67" s="148" t="s">
        <v>218</v>
      </c>
      <c r="B67" s="58"/>
      <c r="C67" s="59"/>
      <c r="D67" s="60"/>
      <c r="E67" s="110" t="s">
        <v>104</v>
      </c>
      <c r="F67" s="47">
        <f>IF(F65&lt;F66,F65,F66)</f>
        <v>0.017632321563048555</v>
      </c>
      <c r="G67" s="69"/>
      <c r="H67" s="158" t="s">
        <v>227</v>
      </c>
      <c r="I67" s="86"/>
      <c r="J67" s="86"/>
      <c r="K67" s="87"/>
      <c r="L67" s="130" t="s">
        <v>142</v>
      </c>
      <c r="M67" s="47">
        <f>M64*(1.33*F15/E18)^M66*M46^M65*M20*L12^0.14</f>
        <v>13.698895458540918</v>
      </c>
    </row>
    <row r="68" spans="1:13" s="9" customFormat="1" ht="15.75" customHeight="1">
      <c r="A68" s="154" t="s">
        <v>177</v>
      </c>
      <c r="B68" s="43"/>
      <c r="C68" s="43"/>
      <c r="D68" s="56"/>
      <c r="E68" s="131" t="s">
        <v>105</v>
      </c>
      <c r="F68" s="57">
        <f>(L11/(3600*E11))/F67</f>
        <v>0.4145342799351086</v>
      </c>
      <c r="G68" s="70"/>
      <c r="H68" s="147" t="s">
        <v>8</v>
      </c>
      <c r="I68" s="61"/>
      <c r="J68" s="62"/>
      <c r="K68" s="65"/>
      <c r="L68" s="136" t="s">
        <v>114</v>
      </c>
      <c r="M68" s="47">
        <f>M67*E11*M45^2/2000</f>
        <v>0.2896409127021235</v>
      </c>
    </row>
    <row r="69" spans="1:13" s="9" customFormat="1" ht="15.75" customHeight="1">
      <c r="A69" s="154" t="s">
        <v>219</v>
      </c>
      <c r="B69" s="43"/>
      <c r="C69" s="43"/>
      <c r="D69" s="56"/>
      <c r="E69" s="134" t="s">
        <v>157</v>
      </c>
      <c r="F69" s="57">
        <f>F68*F15/E12</f>
        <v>13425.003668283474</v>
      </c>
      <c r="G69" s="70"/>
      <c r="H69" s="147" t="s">
        <v>259</v>
      </c>
      <c r="I69" s="61"/>
      <c r="J69" s="62"/>
      <c r="K69" s="65"/>
      <c r="L69" s="130" t="s">
        <v>143</v>
      </c>
      <c r="M69" s="47">
        <f>EXP(IF(M46&gt;=100,-3.7,-4.5)*(M30/M44)*(1-F28/M20^(1/3)))</f>
        <v>0.6499746493791148</v>
      </c>
    </row>
    <row r="70" spans="1:14" s="9" customFormat="1" ht="15.75" customHeight="1">
      <c r="A70" s="98" t="s">
        <v>25</v>
      </c>
      <c r="B70" s="70"/>
      <c r="C70" s="70"/>
      <c r="D70" s="70"/>
      <c r="E70" s="70"/>
      <c r="F70" s="70"/>
      <c r="G70" s="70"/>
      <c r="H70" s="147" t="s">
        <v>261</v>
      </c>
      <c r="I70" s="61"/>
      <c r="J70" s="62"/>
      <c r="K70" s="65"/>
      <c r="L70" s="130" t="s">
        <v>144</v>
      </c>
      <c r="M70" s="47">
        <f>EXP(-1.33*(1+M29/(M29+M28))*((M29+M28)/M44)^(0.8-0.15*M29/(M29+M28)))</f>
        <v>0.5684515019561959</v>
      </c>
      <c r="N70" s="15"/>
    </row>
    <row r="71" spans="1:14" s="9" customFormat="1" ht="15.75" customHeight="1">
      <c r="A71" s="156" t="s">
        <v>220</v>
      </c>
      <c r="B71" s="55"/>
      <c r="C71" s="55"/>
      <c r="D71" s="84"/>
      <c r="E71" s="110" t="s">
        <v>106</v>
      </c>
      <c r="F71" s="47">
        <f>M19*(F14-F15*F21)/F23</f>
        <v>0.036500000000000005</v>
      </c>
      <c r="G71" s="70"/>
      <c r="H71" s="148" t="s">
        <v>262</v>
      </c>
      <c r="I71" s="58"/>
      <c r="J71" s="59"/>
      <c r="K71" s="67"/>
      <c r="L71" s="136" t="s">
        <v>110</v>
      </c>
      <c r="M71" s="47">
        <f>M68*(F27-IF(F23=1,1,F23))*M69*M70</f>
        <v>1.9262925685054497</v>
      </c>
      <c r="N71" s="15"/>
    </row>
    <row r="72" spans="1:13" s="9" customFormat="1" ht="15.75" customHeight="1">
      <c r="A72" s="148" t="s">
        <v>217</v>
      </c>
      <c r="B72" s="58"/>
      <c r="C72" s="59"/>
      <c r="D72" s="60"/>
      <c r="E72" s="110" t="s">
        <v>107</v>
      </c>
      <c r="F72" s="47">
        <f>2*M19*(F30+F19-F15+((E18^2+F18^2)^0.5-F15)*(F21-1))/F23</f>
        <v>0.01821520822628983</v>
      </c>
      <c r="G72" s="70"/>
      <c r="H72" s="146" t="s">
        <v>13</v>
      </c>
      <c r="I72" s="48"/>
      <c r="J72" s="49"/>
      <c r="K72" s="82"/>
      <c r="L72" s="130" t="s">
        <v>145</v>
      </c>
      <c r="M72" s="47">
        <f>2*(M18/M19)^(2-IF(M46&lt;100,1,0.2))</f>
        <v>1.8862777363595895</v>
      </c>
    </row>
    <row r="73" spans="1:13" s="9" customFormat="1" ht="15.75" customHeight="1">
      <c r="A73" s="148" t="s">
        <v>221</v>
      </c>
      <c r="B73" s="58"/>
      <c r="C73" s="59"/>
      <c r="D73" s="60"/>
      <c r="E73" s="110" t="s">
        <v>108</v>
      </c>
      <c r="F73" s="47">
        <f>IF(F71&lt;F72,F71,F72)</f>
        <v>0.01821520822628983</v>
      </c>
      <c r="G73" s="70"/>
      <c r="H73" s="148" t="s">
        <v>12</v>
      </c>
      <c r="I73" s="58"/>
      <c r="J73" s="59"/>
      <c r="K73" s="67"/>
      <c r="L73" s="136" t="s">
        <v>115</v>
      </c>
      <c r="M73" s="47">
        <f>M68*(1+M16/M20)*M69*M72</f>
        <v>0.49528393054411524</v>
      </c>
    </row>
    <row r="74" spans="1:13" s="9" customFormat="1" ht="15.75" customHeight="1">
      <c r="A74" s="154" t="s">
        <v>212</v>
      </c>
      <c r="B74" s="43"/>
      <c r="C74" s="43"/>
      <c r="D74" s="56"/>
      <c r="E74" s="131" t="s">
        <v>109</v>
      </c>
      <c r="F74" s="57">
        <f>(L11/(3600*E11))/F73</f>
        <v>0.4012691829771851</v>
      </c>
      <c r="G74" s="70"/>
      <c r="H74" s="146" t="s">
        <v>223</v>
      </c>
      <c r="I74" s="48"/>
      <c r="J74" s="49"/>
      <c r="K74" s="82"/>
      <c r="L74" s="138" t="s">
        <v>28</v>
      </c>
      <c r="M74" s="47">
        <f>(M44*M31)^0.5</f>
        <v>0.019083007392571086</v>
      </c>
    </row>
    <row r="75" spans="1:13" s="9" customFormat="1" ht="15.75" customHeight="1">
      <c r="A75" s="154" t="s">
        <v>46</v>
      </c>
      <c r="B75" s="43"/>
      <c r="C75" s="43"/>
      <c r="D75" s="56"/>
      <c r="E75" s="134" t="s">
        <v>156</v>
      </c>
      <c r="F75" s="57">
        <f>F74*F15/E12</f>
        <v>12995.403550898402</v>
      </c>
      <c r="G75" s="70"/>
      <c r="H75" s="147" t="s">
        <v>9</v>
      </c>
      <c r="I75" s="61"/>
      <c r="J75" s="62"/>
      <c r="K75" s="65"/>
      <c r="L75" s="131" t="s">
        <v>116</v>
      </c>
      <c r="M75" s="47">
        <f>(L11/(3600*E11))/M74</f>
        <v>0.3830214793905103</v>
      </c>
    </row>
    <row r="76" spans="1:13" s="9" customFormat="1" ht="15.75" customHeight="1">
      <c r="A76" s="98" t="s">
        <v>222</v>
      </c>
      <c r="B76" s="70"/>
      <c r="C76" s="70"/>
      <c r="D76" s="70"/>
      <c r="E76" s="70"/>
      <c r="F76" s="70"/>
      <c r="G76" s="70"/>
      <c r="H76" s="147" t="s">
        <v>263</v>
      </c>
      <c r="I76" s="61"/>
      <c r="J76" s="62"/>
      <c r="K76" s="65"/>
      <c r="L76" s="130" t="s">
        <v>146</v>
      </c>
      <c r="M76" s="47">
        <f>2+0.6*M16</f>
        <v>6.5</v>
      </c>
    </row>
    <row r="77" spans="1:13" s="9" customFormat="1" ht="15.75" customHeight="1">
      <c r="A77" s="154" t="s">
        <v>223</v>
      </c>
      <c r="B77" s="43"/>
      <c r="C77" s="43"/>
      <c r="D77" s="56"/>
      <c r="E77" s="110" t="s">
        <v>51</v>
      </c>
      <c r="F77" s="76">
        <f>(M31*F67)^0.5</f>
        <v>0.01348085558881261</v>
      </c>
      <c r="G77" s="70"/>
      <c r="H77" s="147" t="s">
        <v>10</v>
      </c>
      <c r="I77" s="61"/>
      <c r="J77" s="62"/>
      <c r="K77" s="65"/>
      <c r="L77" s="136" t="s">
        <v>117</v>
      </c>
      <c r="M77" s="47">
        <f>M76*E11*M75^2/2000</f>
        <v>0.471118891021248</v>
      </c>
    </row>
    <row r="78" spans="1:13" s="9" customFormat="1" ht="15.75" customHeight="1">
      <c r="A78" s="154" t="s">
        <v>224</v>
      </c>
      <c r="B78" s="43"/>
      <c r="C78" s="43"/>
      <c r="D78" s="56"/>
      <c r="E78" s="131" t="s">
        <v>52</v>
      </c>
      <c r="F78" s="57">
        <f>(L11/(3600*E11))/F77</f>
        <v>0.5421912336772101</v>
      </c>
      <c r="G78" s="70"/>
      <c r="H78" s="148" t="s">
        <v>11</v>
      </c>
      <c r="I78" s="58"/>
      <c r="J78" s="59"/>
      <c r="K78" s="67"/>
      <c r="L78" s="136" t="s">
        <v>118</v>
      </c>
      <c r="M78" s="47">
        <f>M77*F27*M70</f>
        <v>5.356164824019316</v>
      </c>
    </row>
    <row r="79" spans="1:14" ht="15" customHeight="1">
      <c r="A79" s="154" t="s">
        <v>213</v>
      </c>
      <c r="B79" s="43"/>
      <c r="C79" s="43"/>
      <c r="D79" s="56"/>
      <c r="E79" s="134" t="s">
        <v>155</v>
      </c>
      <c r="F79" s="57">
        <f>F78*F31/E12</f>
        <v>5302.980758648617</v>
      </c>
      <c r="G79" s="70"/>
      <c r="H79" s="146" t="s">
        <v>232</v>
      </c>
      <c r="I79" s="99"/>
      <c r="J79" s="100"/>
      <c r="K79" s="101"/>
      <c r="L79" s="135"/>
      <c r="M79" s="37"/>
      <c r="N79" s="9"/>
    </row>
    <row r="80" spans="1:14" ht="15" customHeight="1">
      <c r="A80" s="154" t="s">
        <v>214</v>
      </c>
      <c r="B80" s="43"/>
      <c r="C80" s="43"/>
      <c r="D80" s="56"/>
      <c r="E80" s="134" t="s">
        <v>154</v>
      </c>
      <c r="F80" s="57">
        <f>F78*M15/E12</f>
        <v>21535.29204258327</v>
      </c>
      <c r="G80" s="102"/>
      <c r="H80" s="148" t="s">
        <v>54</v>
      </c>
      <c r="I80" s="58"/>
      <c r="J80" s="59"/>
      <c r="K80" s="67"/>
      <c r="L80" s="136" t="s">
        <v>113</v>
      </c>
      <c r="M80" s="97">
        <f>M71+M78+M73</f>
        <v>7.777741323068881</v>
      </c>
      <c r="N80" s="9"/>
    </row>
    <row r="81" spans="1:14" ht="15" customHeight="1">
      <c r="A81" s="98" t="s">
        <v>225</v>
      </c>
      <c r="B81" s="70"/>
      <c r="C81" s="70"/>
      <c r="D81" s="70"/>
      <c r="E81" s="70"/>
      <c r="F81" s="37"/>
      <c r="G81" s="102"/>
      <c r="H81" s="37"/>
      <c r="I81" s="37"/>
      <c r="J81" s="37"/>
      <c r="K81" s="37"/>
      <c r="L81" s="139"/>
      <c r="M81" s="37"/>
      <c r="N81" s="9"/>
    </row>
    <row r="82" spans="1:14" ht="18.75">
      <c r="A82" s="150" t="s">
        <v>48</v>
      </c>
      <c r="B82" s="51"/>
      <c r="C82" s="52"/>
      <c r="D82" s="66"/>
      <c r="E82" s="130" t="s">
        <v>153</v>
      </c>
      <c r="F82" s="47">
        <f>IF(OR(F11=0,F12=0),1,L12^IF(F69&gt;=100,0.14,0.57/(F69*(F45*F46/PI()-1))^0.25))</f>
        <v>1.0041880160243586</v>
      </c>
      <c r="G82" s="70"/>
      <c r="H82" s="37"/>
      <c r="I82" s="103" t="s">
        <v>29</v>
      </c>
      <c r="J82" s="104"/>
      <c r="K82" s="17" t="s">
        <v>32</v>
      </c>
      <c r="L82" s="140"/>
      <c r="M82" s="37"/>
      <c r="N82" s="9"/>
    </row>
    <row r="83" spans="1:13" ht="18.75">
      <c r="A83" s="146" t="s">
        <v>226</v>
      </c>
      <c r="B83" s="48"/>
      <c r="C83" s="49"/>
      <c r="D83" s="82"/>
      <c r="E83" s="130" t="s">
        <v>152</v>
      </c>
      <c r="F83" s="47">
        <f>EXP(-IF(F69&lt;100,4.5,3.7)*M23*M18*(1-(F28/M20)^(1/3))/F67)</f>
        <v>0.6018076412984447</v>
      </c>
      <c r="G83" s="70"/>
      <c r="H83" s="150" t="s">
        <v>229</v>
      </c>
      <c r="I83" s="51"/>
      <c r="J83" s="52"/>
      <c r="K83" s="66"/>
      <c r="L83" s="136" t="s">
        <v>110</v>
      </c>
      <c r="M83" s="57">
        <f>IF(C63=K82,F86,M71)</f>
        <v>3.60736707565434</v>
      </c>
    </row>
    <row r="84" spans="1:14" ht="19.5">
      <c r="A84" s="147" t="s">
        <v>227</v>
      </c>
      <c r="B84" s="61"/>
      <c r="C84" s="62"/>
      <c r="D84" s="65"/>
      <c r="E84" s="131" t="s">
        <v>151</v>
      </c>
      <c r="F84" s="47">
        <f>IF(F69&lt;100,IF(D17="ŠAHOVSKI",60,48)/(F69*(F45-1)),IF(D17="ŠAHOVSKI",(F82/F69^0.25)*(2.5+1.2/(F45-0.85)^1.08+0.4*(F46/F45-1)^3-0.01*(F45/F46-1)^3),(F82/F69)*(280*(F46^0.5-0.6)^2+210)/((4*F45*F46/PI()-1)*F45^1.8))*(1+(1-EXP(-0.5-F69/2000))))</f>
        <v>0.6295684124554448</v>
      </c>
      <c r="G84" s="70"/>
      <c r="H84" s="148" t="s">
        <v>50</v>
      </c>
      <c r="I84" s="58"/>
      <c r="J84" s="59"/>
      <c r="K84" s="67"/>
      <c r="L84" s="136" t="s">
        <v>111</v>
      </c>
      <c r="M84" s="57">
        <f>IF(C63=K82,F89,M73)</f>
        <v>1.7185456906015009</v>
      </c>
      <c r="N84" s="16"/>
    </row>
    <row r="85" spans="1:13" ht="18.75">
      <c r="A85" s="147" t="s">
        <v>228</v>
      </c>
      <c r="B85" s="61"/>
      <c r="C85" s="62"/>
      <c r="D85" s="65"/>
      <c r="E85" s="130" t="s">
        <v>150</v>
      </c>
      <c r="F85" s="47">
        <f>EXP(-1.33*(1+M29/(M28+M29))*((M28+M29)/F67)^(0.65-0.15*(M29/(M28+M29))))</f>
        <v>0.3279229400337235</v>
      </c>
      <c r="G85" s="70"/>
      <c r="H85" s="150" t="s">
        <v>231</v>
      </c>
      <c r="I85" s="51"/>
      <c r="J85" s="52"/>
      <c r="K85" s="66"/>
      <c r="L85" s="136" t="s">
        <v>112</v>
      </c>
      <c r="M85" s="57">
        <f>IF(C63=K82,F91,M78)</f>
        <v>6.269884957842007</v>
      </c>
    </row>
    <row r="86" spans="1:13" ht="18.75">
      <c r="A86" s="148" t="s">
        <v>229</v>
      </c>
      <c r="B86" s="58"/>
      <c r="C86" s="59"/>
      <c r="D86" s="67"/>
      <c r="E86" s="136" t="s">
        <v>110</v>
      </c>
      <c r="F86" s="57">
        <f>(F27-IF(F23=1,1,F23))*F85*F83*F84*M20*E11*F68^2/2000</f>
        <v>3.60736707565434</v>
      </c>
      <c r="G86" s="105"/>
      <c r="H86" s="146" t="s">
        <v>232</v>
      </c>
      <c r="I86" s="99"/>
      <c r="J86" s="100"/>
      <c r="K86" s="101"/>
      <c r="L86" s="135"/>
      <c r="M86" s="69"/>
    </row>
    <row r="87" spans="1:13" ht="18.75">
      <c r="A87" s="146" t="s">
        <v>47</v>
      </c>
      <c r="B87" s="48"/>
      <c r="C87" s="49"/>
      <c r="D87" s="82"/>
      <c r="E87" s="130" t="s">
        <v>149</v>
      </c>
      <c r="F87" s="47">
        <f>EXP(-IF(F75&lt;100,4.5,3.7)*M23*M19*(1-(F28/M21)^(1/3))/F73)</f>
        <v>0.6018076412984447</v>
      </c>
      <c r="G87" s="105"/>
      <c r="H87" s="148" t="s">
        <v>54</v>
      </c>
      <c r="I87" s="58"/>
      <c r="J87" s="59"/>
      <c r="K87" s="67"/>
      <c r="L87" s="136" t="s">
        <v>113</v>
      </c>
      <c r="M87" s="106">
        <f>M83+M84+M85</f>
        <v>11.595797724097848</v>
      </c>
    </row>
    <row r="88" spans="1:13" ht="19.5">
      <c r="A88" s="147" t="s">
        <v>227</v>
      </c>
      <c r="B88" s="61"/>
      <c r="C88" s="62"/>
      <c r="D88" s="65"/>
      <c r="E88" s="131" t="s">
        <v>148</v>
      </c>
      <c r="F88" s="47">
        <f>IF(F75&lt;100,IF(D17="ŠAHOVSKI",60,48)/(F75*(F45-1)),IF(D17="ŠAHOVSKI",(F82/F75^0.25)*(2.5+1.2/(F45-0.85)^1.08+0.4*(F46/F45-1)^3-0.01*(F45/F46-1)^3),(F82/F75)*(280*(F46^0.5-0.6)^2+210)/((4*F45*F46/PI()-1)*F45^1.8))*(1+(1-EXP(-0.5-F75/2000))))</f>
        <v>0.634652085277665</v>
      </c>
      <c r="G88" s="70"/>
      <c r="H88" s="160"/>
      <c r="I88" s="37"/>
      <c r="J88" s="37"/>
      <c r="K88" s="37"/>
      <c r="L88" s="37"/>
      <c r="M88" s="37"/>
    </row>
    <row r="89" spans="1:13" ht="18.75">
      <c r="A89" s="148" t="s">
        <v>50</v>
      </c>
      <c r="B89" s="58"/>
      <c r="C89" s="59"/>
      <c r="D89" s="67"/>
      <c r="E89" s="136" t="s">
        <v>111</v>
      </c>
      <c r="F89" s="57">
        <f>2*F87*F88*M21*E11*F68^2/2000</f>
        <v>1.7185456906015009</v>
      </c>
      <c r="G89" s="37"/>
      <c r="H89" s="150" t="s">
        <v>178</v>
      </c>
      <c r="I89" s="51"/>
      <c r="J89" s="52"/>
      <c r="K89" s="144"/>
      <c r="L89" s="145"/>
      <c r="M89" s="143">
        <f>F93/M80</f>
        <v>1.4908952666893873</v>
      </c>
    </row>
    <row r="90" spans="1:13" ht="19.5">
      <c r="A90" s="146" t="s">
        <v>230</v>
      </c>
      <c r="B90" s="48"/>
      <c r="C90" s="49"/>
      <c r="D90" s="82"/>
      <c r="E90" s="131" t="s">
        <v>147</v>
      </c>
      <c r="F90" s="47">
        <f>((56*M17/F79+52*M18/(M15*F80)+2)^2+(0.6*M17+2)^2)^0.5</f>
        <v>6.554911866412736</v>
      </c>
      <c r="G90" s="37"/>
      <c r="H90" s="37"/>
      <c r="I90" s="37"/>
      <c r="J90" s="37"/>
      <c r="K90" s="37"/>
      <c r="L90" s="37"/>
      <c r="M90" s="37"/>
    </row>
    <row r="91" spans="1:13" ht="18.75">
      <c r="A91" s="148" t="s">
        <v>231</v>
      </c>
      <c r="B91" s="58"/>
      <c r="C91" s="59"/>
      <c r="D91" s="67"/>
      <c r="E91" s="136" t="s">
        <v>112</v>
      </c>
      <c r="F91" s="57">
        <f>F27*F82*F85*F90*E11*F78^2/2000</f>
        <v>6.269884957842007</v>
      </c>
      <c r="G91" s="37"/>
      <c r="H91" s="37"/>
      <c r="I91" s="37"/>
      <c r="J91" s="37"/>
      <c r="K91" s="37"/>
      <c r="L91" s="37"/>
      <c r="M91" s="37"/>
    </row>
    <row r="92" spans="1:13" ht="15.75">
      <c r="A92" s="146" t="s">
        <v>232</v>
      </c>
      <c r="B92" s="99"/>
      <c r="C92" s="100"/>
      <c r="D92" s="101"/>
      <c r="E92" s="137"/>
      <c r="F92" s="69"/>
      <c r="G92" s="96"/>
      <c r="H92" s="37"/>
      <c r="I92" s="37"/>
      <c r="J92" s="37"/>
      <c r="K92" s="37"/>
      <c r="L92" s="37"/>
      <c r="M92" s="37"/>
    </row>
    <row r="93" spans="1:13" ht="18.75">
      <c r="A93" s="148" t="s">
        <v>54</v>
      </c>
      <c r="B93" s="58"/>
      <c r="C93" s="59"/>
      <c r="D93" s="67"/>
      <c r="E93" s="136" t="s">
        <v>113</v>
      </c>
      <c r="F93" s="106">
        <f>F89+F86+F91</f>
        <v>11.595797724097848</v>
      </c>
      <c r="G93" s="141"/>
      <c r="H93" s="37"/>
      <c r="I93" s="37"/>
      <c r="J93" s="37"/>
      <c r="K93" s="37"/>
      <c r="L93" s="37"/>
      <c r="M93" s="37"/>
    </row>
    <row r="94" spans="1:13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</sheetData>
  <sheetProtection password="C784" sheet="1" objects="1" scenarios="1"/>
  <dataValidations count="20">
    <dataValidation type="list" allowBlank="1" showInputMessage="1" showErrorMessage="1" promptTitle="SPOLJNJI PRECNIK CEVI" prompt="Uneti precnik cevi iz menija" sqref="F15">
      <formula1>"0,010,0,012,0,014,0,015,0,016,0,018,0,02,0,022,0,025"</formula1>
    </dataValidation>
    <dataValidation allowBlank="1" showInputMessage="1" showErrorMessage="1" promptTitle="KORACI MREZNOG RASPOREDA" prompt="Nijedan korak ne moze biti manji od poluprecnika otvora za cev" sqref="E18:F18"/>
    <dataValidation type="list" allowBlank="1" showInputMessage="1" showErrorMessage="1" promptTitle="BROJ PROLAZA FLUIDA U REGISTRU" prompt="Za U cev zr=2 ili vece&#10;Uneti vrednost iz menija" sqref="F22">
      <formula1>"1,2,4,6,8"</formula1>
    </dataValidation>
    <dataValidation type="list" allowBlank="1" showInputMessage="1" showErrorMessage="1" promptTitle="KONSTRUKCIJA CEVI REGISTRA" prompt="Pri zr=1, ne moze U cev" sqref="D15">
      <formula1>"U cev,Prava"</formula1>
    </dataValidation>
    <dataValidation type="list" allowBlank="1" showInputMessage="1" showErrorMessage="1" promptTitle="BROJ PROLAZA FLUIDA U OMOTACU" prompt="Za pravu cev mora biti zo=1&#10;Uneti vrednost iz menija" sqref="F23">
      <formula1>"1,2,4"</formula1>
    </dataValidation>
    <dataValidation allowBlank="1" showInputMessage="1" showErrorMessage="1" promptTitle="POCETNI VERTIKALNI KORAK OD OSE " prompt="Nijedan korak ne moze biti manji od poluprecnika otvora za cev" sqref="E19"/>
    <dataValidation allowBlank="1" showInputMessage="1" showErrorMessage="1" promptTitle="POCETNI HORIZONTAL KORAK OD OSE " prompt="Nijedan korak ne moze biti manji od poluprecnika otvora za cev" sqref="F19"/>
    <dataValidation type="list" allowBlank="1" showInputMessage="1" showErrorMessage="1" sqref="D17">
      <formula1>"ŠAHOVSKI,KORIDORNI"</formula1>
    </dataValidation>
    <dataValidation allowBlank="1" showInputMessage="1" showErrorMessage="1" promptTitle="SVOJSTVA FLUIDA NA TEMP. ZIDA" prompt="Ako podaci nisu uneti smatra se da je strujanje izotermno" sqref="F11:F12"/>
    <dataValidation type="list" allowBlank="1" showInputMessage="1" showErrorMessage="1" promptTitle="TIP RASPOREDA OTVORA U PLOCI" prompt="1 sahovski raspored, prvi otvor 11&#10;2 sahovski raspored, prvi otvor 12 ili 21&#10;1 uvek kod koridornog rasporeda" sqref="F17">
      <formula1>"1,2"</formula1>
    </dataValidation>
    <dataValidation allowBlank="1" showInputMessage="1" showErrorMessage="1" promptTitle="Broj poprecnih pregrada " prompt="Odnosi se na duzinu struje u omota~u. Mora biti broj deljiv sa zo" sqref="F27"/>
    <dataValidation type="list" allowBlank="1" showInputMessage="1" showErrorMessage="1" sqref="K82:L82">
      <formula1>"GADDIS,BELL-DELAWARE"</formula1>
    </dataValidation>
    <dataValidation allowBlank="1" showInputMessage="1" showErrorMessage="1" prompt="Ako Excel padne uneti proizvoljnu vrednost&#10;a zatim =m37" sqref="F36"/>
    <dataValidation allowBlank="1" showInputMessage="1" showErrorMessage="1" prompt="Srednja temperatura fluida u omotacu" sqref="E10"/>
    <dataValidation allowBlank="1" showInputMessage="1" showErrorMessage="1" prompt="Temperatura zida cevi registra sa strane omotaca" sqref="F10"/>
    <dataValidation allowBlank="1" showInputMessage="1" showErrorMessage="1" prompt="Uneti vrednost iz geometrije usvojenog aparata" sqref="F20:F21"/>
    <dataValidation allowBlank="1" showInputMessage="1" showErrorMessage="1" prompt="Uneti vrednosti iz geometrije usvojenog aparata" sqref="F24:F26 F30 F33"/>
    <dataValidation allowBlank="1" showInputMessage="1" showErrorMessage="1" promptTitle="Duzina pravog dela registra" prompt="Unosi se vrednost iz geometrije aparata.&#10;Moze se varirati za promenu koeficijenta prelaza toplote" sqref="F32"/>
    <dataValidation allowBlank="1" showInputMessage="1" showErrorMessage="1" prompt="Uobicajena vrednost 0.001 m" sqref="M25"/>
    <dataValidation allowBlank="1" showInputMessage="1" showErrorMessage="1" promptTitle="Jedinicni pad pritska prikljucka" prompt="Za vecinu cevnih mreza odgovara R=100 Pa/m" sqref="L35"/>
  </dataValidations>
  <printOptions/>
  <pageMargins left="0.7" right="0.2" top="0.7" bottom="0.7" header="0.3" footer="0.3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2017-05-20T16:46:42Z</dcterms:modified>
  <cp:category>Excelova aplikacija</cp:category>
  <cp:version/>
  <cp:contentType/>
  <cp:contentStatus/>
</cp:coreProperties>
</file>