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DESIGN " sheetId="1" r:id="rId1"/>
  </sheets>
  <definedNames>
    <definedName name="AKTIV">"GotovOblik 925"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mriki</author>
  </authors>
  <commentList>
    <comment ref="J29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Racuna se odnos temperaturske razlika toplijeg i hladnijeg fluida
Rp=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tp/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ts</t>
        </r>
      </text>
    </comment>
    <comment ref="J35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ITERACIJE=J39
Za pad sistema uneti proizvoljan iznos, a zatim =J39</t>
        </r>
      </text>
    </comment>
    <comment ref="J36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(5.10)</t>
        </r>
      </text>
    </comment>
    <comment ref="J39" authorId="0">
      <text>
        <r>
          <rPr>
            <b/>
            <sz val="8"/>
            <rFont val="Tahoma"/>
            <family val="0"/>
          </rPr>
          <t>Empirijska jednacina:</t>
        </r>
        <r>
          <rPr>
            <sz val="8"/>
            <rFont val="Tahoma"/>
            <family val="0"/>
          </rPr>
          <t xml:space="preserve">
Videti knjigu
Jednacina (3.90)</t>
        </r>
      </text>
    </comment>
  </commentList>
</comments>
</file>

<file path=xl/sharedStrings.xml><?xml version="1.0" encoding="utf-8"?>
<sst xmlns="http://schemas.openxmlformats.org/spreadsheetml/2006/main" count="85" uniqueCount="73">
  <si>
    <t>C.  ODZIV  SISTEMA</t>
  </si>
  <si>
    <t>LMTD</t>
  </si>
  <si>
    <t>istosm</t>
  </si>
  <si>
    <t>P</t>
  </si>
  <si>
    <t>unakrsno</t>
  </si>
  <si>
    <t>R</t>
  </si>
  <si>
    <t>NTU=kA/W</t>
  </si>
  <si>
    <t>suprot</t>
  </si>
  <si>
    <t>e</t>
  </si>
  <si>
    <t>kA</t>
  </si>
  <si>
    <t>Ulazni podaci:</t>
  </si>
  <si>
    <t>Odziv sistema:</t>
  </si>
  <si>
    <t xml:space="preserve">Razmenjena toplotna snaga </t>
  </si>
  <si>
    <t>(Odziv sistema paralelno za osam konfiguracija)</t>
  </si>
  <si>
    <t>PRIMAR</t>
  </si>
  <si>
    <t>Empirijska</t>
  </si>
  <si>
    <t>jedn.(3.93)</t>
  </si>
  <si>
    <t>RT21</t>
  </si>
  <si>
    <t>SEKUNDAR</t>
  </si>
  <si>
    <t>JESTE</t>
  </si>
  <si>
    <t xml:space="preserve">teperatura </t>
  </si>
  <si>
    <t>Zadata izlazna</t>
  </si>
  <si>
    <t>(Zadata ili linearna aproksimacija medjuvrednosti)</t>
  </si>
  <si>
    <t>b=</t>
  </si>
  <si>
    <t>c=</t>
  </si>
  <si>
    <t>d=</t>
  </si>
  <si>
    <t>RT42</t>
  </si>
  <si>
    <t>RT63</t>
  </si>
  <si>
    <t>RT84</t>
  </si>
  <si>
    <t>RT62</t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</si>
  <si>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2"/>
      </rPr>
      <t>[kJ/(kg K)]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</si>
  <si>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2"/>
      </rPr>
      <t>[kJ/(kg K)]</t>
    </r>
  </si>
  <si>
    <r>
      <t>a</t>
    </r>
    <r>
      <rPr>
        <i/>
        <vertAlign val="subscript"/>
        <sz val="12"/>
        <rFont val="Times New Roman"/>
        <family val="1"/>
      </rPr>
      <t>o</t>
    </r>
    <r>
      <rPr>
        <i/>
        <sz val="12"/>
        <rFont val="Times New Roman"/>
        <family val="1"/>
      </rPr>
      <t>=</t>
    </r>
  </si>
  <si>
    <r>
      <t>Konfig. [</t>
    </r>
    <r>
      <rPr>
        <i/>
        <sz val="12"/>
        <rFont val="Times New Roman"/>
        <family val="1"/>
      </rPr>
      <t>a</t>
    </r>
    <r>
      <rPr>
        <sz val="11"/>
        <rFont val="Arial"/>
        <family val="2"/>
      </rPr>
      <t>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</si>
  <si>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'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</si>
  <si>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'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</si>
  <si>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m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2"/>
      </rPr>
      <t xml:space="preserve"> [kg/s]</t>
    </r>
  </si>
  <si>
    <r>
      <t>m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2"/>
      </rPr>
      <t xml:space="preserve"> [kg/s]</t>
    </r>
  </si>
  <si>
    <r>
      <t>c</t>
    </r>
    <r>
      <rPr>
        <i/>
        <vertAlign val="subscript"/>
        <sz val="12"/>
        <rFont val="Times New Roman"/>
        <family val="1"/>
      </rPr>
      <t>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[kJ/(kg K)]</t>
    </r>
  </si>
  <si>
    <r>
      <t>c</t>
    </r>
    <r>
      <rPr>
        <i/>
        <vertAlign val="subscript"/>
        <sz val="12"/>
        <rFont val="Times New Roman"/>
        <family val="1"/>
      </rPr>
      <t>s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[kJ/(kg K)]</t>
    </r>
  </si>
  <si>
    <r>
      <t>W</t>
    </r>
    <r>
      <rPr>
        <i/>
        <vertAlign val="subscript"/>
        <sz val="12"/>
        <rFont val="Times New Roman"/>
        <family val="1"/>
      </rPr>
      <t>p</t>
    </r>
    <r>
      <rPr>
        <sz val="11"/>
        <rFont val="Arial"/>
        <family val="0"/>
      </rPr>
      <t xml:space="preserve"> [kW/ K]</t>
    </r>
  </si>
  <si>
    <r>
      <t>W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0"/>
      </rPr>
      <t xml:space="preserve"> [kW/ K]</t>
    </r>
  </si>
  <si>
    <r>
      <t>P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</si>
  <si>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e</t>
    </r>
    <r>
      <rPr>
        <i/>
        <sz val="11"/>
        <rFont val="Times New Roman"/>
        <family val="1"/>
      </rPr>
      <t>=LMTD*</t>
    </r>
    <r>
      <rPr>
        <sz val="11"/>
        <rFont val="Symbol"/>
        <family val="1"/>
      </rPr>
      <t>e</t>
    </r>
  </si>
  <si>
    <r>
      <t>Q = W</t>
    </r>
    <r>
      <rPr>
        <i/>
        <vertAlign val="subscript"/>
        <sz val="12"/>
        <rFont val="Times New Roman"/>
        <family val="1"/>
      </rPr>
      <t>v</t>
    </r>
    <r>
      <rPr>
        <i/>
        <sz val="12"/>
        <rFont val="Times New Roman"/>
        <family val="1"/>
      </rPr>
      <t>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m</t>
    </r>
  </si>
  <si>
    <r>
      <t>Q = W</t>
    </r>
    <r>
      <rPr>
        <i/>
        <vertAlign val="subscript"/>
        <sz val="12"/>
        <rFont val="Times New Roman"/>
        <family val="1"/>
      </rPr>
      <t>m</t>
    </r>
    <r>
      <rPr>
        <i/>
        <sz val="12"/>
        <rFont val="Times New Roman"/>
        <family val="1"/>
      </rPr>
      <t>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</si>
  <si>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Q = kA*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e</t>
    </r>
  </si>
  <si>
    <r>
      <t>t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</si>
  <si>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</si>
  <si>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p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</si>
  <si>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v</t>
    </r>
  </si>
  <si>
    <r>
      <t>P,P</t>
    </r>
    <r>
      <rPr>
        <i/>
        <vertAlign val="subscript"/>
        <sz val="12"/>
        <rFont val="Times New Roman"/>
        <family val="1"/>
      </rPr>
      <t>a max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</si>
  <si>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</si>
  <si>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" </t>
    </r>
    <r>
      <rPr>
        <sz val="11"/>
        <rFont val="Arial"/>
        <family val="2"/>
      </rPr>
      <t>[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</si>
  <si>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9"/>
        <rFont val="YU L Swiss"/>
        <family val="2"/>
      </rPr>
      <t>VI[E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</si>
  <si>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p sr</t>
    </r>
    <r>
      <rPr>
        <sz val="9"/>
        <rFont val="YU L Swiss"/>
        <family val="2"/>
      </rPr>
      <t>NI@E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</si>
  <si>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9"/>
        <rFont val="YU L Swiss"/>
        <family val="2"/>
      </rPr>
      <t>VI[E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</si>
  <si>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s sr</t>
    </r>
    <r>
      <rPr>
        <sz val="9"/>
        <rFont val="YU L Swiss"/>
        <family val="2"/>
      </rPr>
      <t>NI@E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</si>
  <si>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 xml:space="preserve">p sr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</si>
  <si>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 xml:space="preserve">s sr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</si>
  <si>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q</t>
    </r>
    <r>
      <rPr>
        <sz val="12"/>
        <rFont val="Symbol"/>
        <family val="1"/>
      </rPr>
      <t xml:space="preserve"> </t>
    </r>
    <r>
      <rPr>
        <i/>
        <sz val="12"/>
        <rFont val="Times New Roman"/>
        <family val="1"/>
      </rPr>
      <t>= 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>'</t>
    </r>
    <r>
      <rPr>
        <i/>
        <sz val="12"/>
        <rFont val="Symbol"/>
        <family val="1"/>
      </rPr>
      <t>-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>'</t>
    </r>
  </si>
  <si>
    <t>KONFIGURACIJA  STRUJANJA  U  RAZMENJIVAČU  TOPLOTE</t>
  </si>
  <si>
    <t>VELIČINA</t>
  </si>
  <si>
    <t>A.  ZADATE  VELIČINE</t>
  </si>
  <si>
    <t>Linearna aproksimacija specifičnog toplotnog kapaciteta</t>
  </si>
  <si>
    <t>B.  IZRAČUNATE  VELIČINE</t>
  </si>
  <si>
    <t>(preko bil. primara i sekundara, jednač. razmene)</t>
  </si>
  <si>
    <r>
      <t xml:space="preserve">Ulazne temperature primara i sekundara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'</t>
    </r>
    <r>
      <rPr>
        <sz val="11"/>
        <color indexed="16"/>
        <rFont val="Arial"/>
        <family val="2"/>
      </rPr>
      <t xml:space="preserve"> i</t>
    </r>
    <r>
      <rPr>
        <i/>
        <sz val="12"/>
        <color indexed="16"/>
        <rFont val="Arial"/>
        <family val="2"/>
      </rPr>
      <t xml:space="preserve"> 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'</t>
    </r>
  </si>
  <si>
    <r>
      <t>Izlazna temperatura primara ili sekundara</t>
    </r>
    <r>
      <rPr>
        <i/>
        <sz val="12"/>
        <color indexed="16"/>
        <rFont val="Arial"/>
        <family val="2"/>
      </rPr>
      <t xml:space="preserve"> 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"</t>
    </r>
    <r>
      <rPr>
        <sz val="11"/>
        <color indexed="16"/>
        <rFont val="Arial"/>
        <family val="2"/>
      </rPr>
      <t xml:space="preserve"> ili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"</t>
    </r>
  </si>
  <si>
    <r>
      <t>Maseni protoci primara i sekundara</t>
    </r>
    <r>
      <rPr>
        <i/>
        <sz val="12"/>
        <color indexed="16"/>
        <rFont val="Arial"/>
        <family val="2"/>
      </rPr>
      <t xml:space="preserve"> m</t>
    </r>
    <r>
      <rPr>
        <i/>
        <vertAlign val="subscript"/>
        <sz val="12"/>
        <color indexed="16"/>
        <rFont val="Arial"/>
        <family val="2"/>
      </rPr>
      <t>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m</t>
    </r>
    <r>
      <rPr>
        <i/>
        <vertAlign val="subscript"/>
        <sz val="12"/>
        <color indexed="16"/>
        <rFont val="Arial"/>
        <family val="2"/>
      </rPr>
      <t>s</t>
    </r>
  </si>
  <si>
    <r>
      <t xml:space="preserve">Nepoznata izlazna temperatura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p</t>
    </r>
    <r>
      <rPr>
        <i/>
        <sz val="12"/>
        <color indexed="16"/>
        <rFont val="Arial"/>
        <family val="2"/>
      </rPr>
      <t>"</t>
    </r>
    <r>
      <rPr>
        <sz val="11"/>
        <color indexed="16"/>
        <rFont val="Arial"/>
        <family val="2"/>
      </rPr>
      <t xml:space="preserve"> ili </t>
    </r>
    <r>
      <rPr>
        <i/>
        <sz val="12"/>
        <color indexed="16"/>
        <rFont val="Arial"/>
        <family val="2"/>
      </rPr>
      <t>t</t>
    </r>
    <r>
      <rPr>
        <i/>
        <vertAlign val="subscript"/>
        <sz val="12"/>
        <color indexed="16"/>
        <rFont val="Arial"/>
        <family val="2"/>
      </rPr>
      <t>s</t>
    </r>
    <r>
      <rPr>
        <i/>
        <sz val="12"/>
        <color indexed="16"/>
        <rFont val="Arial"/>
        <family val="2"/>
      </rPr>
      <t>"</t>
    </r>
  </si>
  <si>
    <t>POSTUPAK  DESIGN  PRORAČUNA  RAZMENJIVAČA  TOPLOTE</t>
  </si>
  <si>
    <r>
      <t xml:space="preserve">Specifični toplotni kapacitet za srednje temperature </t>
    </r>
    <r>
      <rPr>
        <i/>
        <sz val="12"/>
        <color indexed="16"/>
        <rFont val="Arial"/>
        <family val="2"/>
      </rPr>
      <t>c</t>
    </r>
    <r>
      <rPr>
        <i/>
        <vertAlign val="subscript"/>
        <sz val="12"/>
        <color indexed="16"/>
        <rFont val="Arial"/>
        <family val="2"/>
      </rPr>
      <t>p</t>
    </r>
    <r>
      <rPr>
        <sz val="11"/>
        <color indexed="16"/>
        <rFont val="Arial"/>
        <family val="2"/>
      </rPr>
      <t xml:space="preserve"> i </t>
    </r>
    <r>
      <rPr>
        <i/>
        <sz val="12"/>
        <color indexed="16"/>
        <rFont val="Arial"/>
        <family val="2"/>
      </rPr>
      <t>c</t>
    </r>
    <r>
      <rPr>
        <i/>
        <vertAlign val="subscript"/>
        <sz val="12"/>
        <color indexed="16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</si>
</sst>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0"/>
      <name val="YU L Swiss"/>
      <family val="2"/>
    </font>
    <font>
      <sz val="12"/>
      <name val="YU L Swiss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8"/>
      <name val="Arial"/>
      <family val="0"/>
    </font>
    <font>
      <b/>
      <sz val="11"/>
      <color indexed="12"/>
      <name val="Arial"/>
      <family val="2"/>
    </font>
    <font>
      <vertAlign val="superscript"/>
      <sz val="12"/>
      <name val="Arial"/>
      <family val="2"/>
    </font>
    <font>
      <sz val="9"/>
      <name val="YU L Swiss"/>
      <family val="2"/>
    </font>
    <font>
      <b/>
      <sz val="12"/>
      <color indexed="14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Symbol"/>
      <family val="1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sz val="8"/>
      <color indexed="21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2"/>
      <name val="Symbol"/>
      <family val="1"/>
    </font>
    <font>
      <sz val="20"/>
      <color indexed="21"/>
      <name val="Arial"/>
      <family val="2"/>
    </font>
    <font>
      <sz val="12"/>
      <color indexed="16"/>
      <name val="Arial"/>
      <family val="2"/>
    </font>
    <font>
      <i/>
      <sz val="12"/>
      <color indexed="16"/>
      <name val="Arial"/>
      <family val="2"/>
    </font>
    <font>
      <i/>
      <vertAlign val="subscript"/>
      <sz val="12"/>
      <color indexed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23" fillId="3" borderId="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3" fillId="3" borderId="3" xfId="0" applyFont="1" applyFill="1" applyBorder="1" applyAlignment="1" applyProtection="1">
      <alignment horizontal="center"/>
      <protection hidden="1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22" fillId="4" borderId="3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3" fillId="3" borderId="3" xfId="0" applyFont="1" applyFill="1" applyBorder="1" applyAlignment="1" applyProtection="1">
      <alignment horizontal="center"/>
      <protection hidden="1"/>
    </xf>
    <xf numFmtId="0" fontId="33" fillId="3" borderId="10" xfId="0" applyFont="1" applyFill="1" applyBorder="1" applyAlignment="1" applyProtection="1">
      <alignment horizontal="center"/>
      <protection hidden="1"/>
    </xf>
    <xf numFmtId="0" fontId="38" fillId="3" borderId="2" xfId="0" applyFont="1" applyFill="1" applyBorder="1" applyAlignment="1" applyProtection="1">
      <alignment horizontal="center"/>
      <protection hidden="1"/>
    </xf>
    <xf numFmtId="0" fontId="33" fillId="3" borderId="11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right"/>
      <protection hidden="1"/>
    </xf>
    <xf numFmtId="0" fontId="35" fillId="0" borderId="0" xfId="0" applyFont="1" applyAlignment="1" applyProtection="1">
      <alignment horizontal="right"/>
      <protection hidden="1"/>
    </xf>
    <xf numFmtId="0" fontId="33" fillId="3" borderId="12" xfId="0" applyFont="1" applyFill="1" applyBorder="1" applyAlignment="1" applyProtection="1">
      <alignment horizontal="center"/>
      <protection hidden="1"/>
    </xf>
    <xf numFmtId="0" fontId="33" fillId="3" borderId="13" xfId="0" applyFont="1" applyFill="1" applyBorder="1" applyAlignment="1" applyProtection="1">
      <alignment horizontal="center"/>
      <protection hidden="1"/>
    </xf>
    <xf numFmtId="0" fontId="33" fillId="3" borderId="4" xfId="0" applyFont="1" applyFill="1" applyBorder="1" applyAlignment="1" applyProtection="1">
      <alignment horizontal="center"/>
      <protection hidden="1"/>
    </xf>
    <xf numFmtId="0" fontId="33" fillId="3" borderId="5" xfId="0" applyFont="1" applyFill="1" applyBorder="1" applyAlignment="1" applyProtection="1">
      <alignment horizontal="center"/>
      <protection hidden="1"/>
    </xf>
    <xf numFmtId="0" fontId="38" fillId="3" borderId="5" xfId="0" applyFont="1" applyFill="1" applyBorder="1" applyAlignment="1" applyProtection="1">
      <alignment horizontal="center"/>
      <protection hidden="1"/>
    </xf>
    <xf numFmtId="0" fontId="38" fillId="3" borderId="4" xfId="0" applyFont="1" applyFill="1" applyBorder="1" applyAlignment="1" applyProtection="1">
      <alignment horizontal="center"/>
      <protection hidden="1"/>
    </xf>
    <xf numFmtId="0" fontId="33" fillId="3" borderId="3" xfId="0" applyFont="1" applyFill="1" applyBorder="1" applyAlignment="1" applyProtection="1">
      <alignment horizontal="right"/>
      <protection hidden="1"/>
    </xf>
    <xf numFmtId="0" fontId="9" fillId="3" borderId="4" xfId="0" applyFont="1" applyFill="1" applyBorder="1" applyAlignment="1" applyProtection="1">
      <alignment horizontal="right"/>
      <protection hidden="1"/>
    </xf>
    <xf numFmtId="0" fontId="33" fillId="3" borderId="4" xfId="0" applyFont="1" applyFill="1" applyBorder="1" applyAlignment="1" applyProtection="1">
      <alignment horizontal="right"/>
      <protection hidden="1"/>
    </xf>
    <xf numFmtId="0" fontId="33" fillId="3" borderId="5" xfId="0" applyFont="1" applyFill="1" applyBorder="1" applyAlignment="1" applyProtection="1">
      <alignment horizontal="right"/>
      <protection hidden="1"/>
    </xf>
    <xf numFmtId="0" fontId="8" fillId="3" borderId="14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9" fillId="3" borderId="15" xfId="0" applyFont="1" applyFill="1" applyBorder="1" applyAlignment="1" applyProtection="1">
      <alignment/>
      <protection hidden="1"/>
    </xf>
    <xf numFmtId="0" fontId="9" fillId="3" borderId="16" xfId="0" applyFont="1" applyFill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4" borderId="1" xfId="0" applyNumberFormat="1" applyFont="1" applyFill="1" applyBorder="1" applyAlignment="1" applyProtection="1">
      <alignment horizontal="center"/>
      <protection hidden="1"/>
    </xf>
    <xf numFmtId="0" fontId="18" fillId="4" borderId="4" xfId="0" applyNumberFormat="1" applyFont="1" applyFill="1" applyBorder="1" applyAlignment="1" applyProtection="1">
      <alignment horizontal="center"/>
      <protection hidden="1"/>
    </xf>
    <xf numFmtId="0" fontId="18" fillId="4" borderId="17" xfId="0" applyNumberFormat="1" applyFont="1" applyFill="1" applyBorder="1" applyAlignment="1" applyProtection="1">
      <alignment horizontal="center"/>
      <protection hidden="1"/>
    </xf>
    <xf numFmtId="0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10" xfId="0" applyNumberFormat="1" applyFont="1" applyFill="1" applyBorder="1" applyAlignment="1" applyProtection="1">
      <alignment horizontal="center"/>
      <protection hidden="1"/>
    </xf>
    <xf numFmtId="0" fontId="18" fillId="4" borderId="3" xfId="0" applyNumberFormat="1" applyFont="1" applyFill="1" applyBorder="1" applyAlignment="1" applyProtection="1">
      <alignment horizontal="center"/>
      <protection hidden="1"/>
    </xf>
    <xf numFmtId="0" fontId="24" fillId="2" borderId="4" xfId="0" applyNumberFormat="1" applyFont="1" applyFill="1" applyBorder="1" applyAlignment="1" applyProtection="1">
      <alignment horizontal="center"/>
      <protection locked="0"/>
    </xf>
    <xf numFmtId="0" fontId="24" fillId="2" borderId="3" xfId="0" applyNumberFormat="1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3" xfId="0" applyNumberFormat="1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40" fillId="4" borderId="4" xfId="0" applyFont="1" applyFill="1" applyBorder="1" applyAlignment="1" applyProtection="1">
      <alignment horizontal="center"/>
      <protection hidden="1"/>
    </xf>
    <xf numFmtId="0" fontId="40" fillId="4" borderId="3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18" fillId="3" borderId="14" xfId="0" applyFont="1" applyFill="1" applyBorder="1" applyAlignment="1" applyProtection="1">
      <alignment/>
      <protection hidden="1"/>
    </xf>
    <xf numFmtId="0" fontId="0" fillId="3" borderId="0" xfId="0" applyFont="1" applyFill="1" applyAlignment="1">
      <alignment/>
    </xf>
    <xf numFmtId="0" fontId="0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19" fillId="2" borderId="1" xfId="0" applyNumberFormat="1" applyFont="1" applyFill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19" fillId="2" borderId="10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40" fillId="4" borderId="2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161925</xdr:rowOff>
    </xdr:from>
    <xdr:to>
      <xdr:col>7</xdr:col>
      <xdr:colOff>361950</xdr:colOff>
      <xdr:row>2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448050" y="161925"/>
          <a:ext cx="2447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DESIGN  PROBLEM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76200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190500</xdr:colOff>
      <xdr:row>0</xdr:row>
      <xdr:rowOff>66675</xdr:rowOff>
    </xdr:from>
    <xdr:to>
      <xdr:col>3</xdr:col>
      <xdr:colOff>266700</xdr:colOff>
      <xdr:row>4</xdr:row>
      <xdr:rowOff>104775</xdr:rowOff>
    </xdr:to>
    <xdr:sp>
      <xdr:nvSpPr>
        <xdr:cNvPr id="3" name="TextBox 45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workbookViewId="0" topLeftCell="A1">
      <selection activeCell="D60" sqref="D60"/>
    </sheetView>
  </sheetViews>
  <sheetFormatPr defaultColWidth="9.140625" defaultRowHeight="12.75"/>
  <cols>
    <col min="1" max="1" width="12.7109375" style="0" customWidth="1"/>
    <col min="2" max="10" width="11.7109375" style="0" customWidth="1"/>
  </cols>
  <sheetData>
    <row r="1" ht="12.75">
      <c r="J1" s="38" t="e">
        <f>#REF!</f>
        <v>#REF!</v>
      </c>
    </row>
    <row r="3" ht="12.75">
      <c r="J3" s="31"/>
    </row>
    <row r="4" spans="5:10" ht="12.75">
      <c r="E4" s="32"/>
      <c r="F4" s="32"/>
      <c r="G4" s="33"/>
      <c r="H4" s="33"/>
      <c r="J4" s="31"/>
    </row>
    <row r="5" ht="16.5" customHeight="1"/>
    <row r="6" spans="1:10" ht="16.5" customHeight="1">
      <c r="A6" s="57"/>
      <c r="B6" s="84"/>
      <c r="C6" s="59" t="s">
        <v>61</v>
      </c>
      <c r="D6" s="58"/>
      <c r="E6" s="58"/>
      <c r="F6" s="58"/>
      <c r="G6" s="58"/>
      <c r="H6" s="58"/>
      <c r="I6" s="85"/>
      <c r="J6" s="60" t="s">
        <v>15</v>
      </c>
    </row>
    <row r="7" spans="1:10" ht="16.5" customHeight="1">
      <c r="A7" s="86" t="s">
        <v>62</v>
      </c>
      <c r="B7" s="34" t="s">
        <v>2</v>
      </c>
      <c r="C7" s="34" t="s">
        <v>7</v>
      </c>
      <c r="D7" s="34" t="s">
        <v>4</v>
      </c>
      <c r="E7" s="34" t="s">
        <v>17</v>
      </c>
      <c r="F7" s="34" t="s">
        <v>26</v>
      </c>
      <c r="G7" s="34" t="s">
        <v>27</v>
      </c>
      <c r="H7" s="34" t="s">
        <v>28</v>
      </c>
      <c r="I7" s="34" t="s">
        <v>29</v>
      </c>
      <c r="J7" s="34" t="s">
        <v>16</v>
      </c>
    </row>
    <row r="8" spans="1:10" ht="16.5" customHeight="1" thickBot="1">
      <c r="A8" s="57"/>
      <c r="B8" s="61" t="s">
        <v>63</v>
      </c>
      <c r="C8" s="61"/>
      <c r="D8" s="62" t="s">
        <v>64</v>
      </c>
      <c r="E8" s="87"/>
      <c r="F8" s="61"/>
      <c r="G8" s="61"/>
      <c r="H8" s="61"/>
      <c r="I8" s="43" t="s">
        <v>32</v>
      </c>
      <c r="J8" s="12">
        <v>0.274</v>
      </c>
    </row>
    <row r="9" spans="1:10" ht="16.5" customHeight="1">
      <c r="A9" s="88" t="s">
        <v>21</v>
      </c>
      <c r="B9" s="13"/>
      <c r="C9" s="29" t="s">
        <v>19</v>
      </c>
      <c r="D9" s="45" t="s">
        <v>54</v>
      </c>
      <c r="E9" s="45" t="s">
        <v>55</v>
      </c>
      <c r="F9" s="29" t="s">
        <v>19</v>
      </c>
      <c r="G9" s="45" t="s">
        <v>56</v>
      </c>
      <c r="H9" s="46" t="s">
        <v>57</v>
      </c>
      <c r="I9" s="43" t="s">
        <v>23</v>
      </c>
      <c r="J9" s="12">
        <v>2.08</v>
      </c>
    </row>
    <row r="10" spans="1:10" ht="16.5" customHeight="1">
      <c r="A10" s="89" t="s">
        <v>20</v>
      </c>
      <c r="B10" s="13"/>
      <c r="C10" s="90" t="s">
        <v>14</v>
      </c>
      <c r="D10" s="10">
        <v>120</v>
      </c>
      <c r="E10" s="30">
        <v>110</v>
      </c>
      <c r="F10" s="90" t="s">
        <v>18</v>
      </c>
      <c r="G10" s="10">
        <v>80</v>
      </c>
      <c r="H10" s="30">
        <v>70</v>
      </c>
      <c r="I10" s="43" t="s">
        <v>24</v>
      </c>
      <c r="J10" s="12">
        <v>0.624</v>
      </c>
    </row>
    <row r="11" spans="1:10" ht="16.5" customHeight="1" thickBot="1">
      <c r="A11" s="11" t="s">
        <v>14</v>
      </c>
      <c r="B11" s="13"/>
      <c r="C11" s="42" t="s">
        <v>30</v>
      </c>
      <c r="D11" s="27">
        <v>4.232</v>
      </c>
      <c r="E11" s="28">
        <v>4.224</v>
      </c>
      <c r="F11" s="42" t="s">
        <v>31</v>
      </c>
      <c r="G11" s="27">
        <v>2</v>
      </c>
      <c r="H11" s="28">
        <v>1.964</v>
      </c>
      <c r="I11" s="44" t="s">
        <v>25</v>
      </c>
      <c r="J11" s="12">
        <v>0.508</v>
      </c>
    </row>
    <row r="12" spans="1:10" ht="16.5" customHeight="1">
      <c r="A12" s="52" t="s">
        <v>33</v>
      </c>
      <c r="B12" s="13"/>
      <c r="C12" s="13"/>
      <c r="D12" s="13"/>
      <c r="E12" s="26">
        <v>1</v>
      </c>
      <c r="F12" s="26">
        <v>2</v>
      </c>
      <c r="G12" s="26">
        <v>3</v>
      </c>
      <c r="H12" s="26">
        <v>4</v>
      </c>
      <c r="I12" s="16">
        <v>2</v>
      </c>
      <c r="J12" s="13"/>
    </row>
    <row r="13" spans="1:10" ht="16.5" customHeight="1">
      <c r="A13" s="53" t="s">
        <v>34</v>
      </c>
      <c r="B13" s="91">
        <v>130</v>
      </c>
      <c r="C13" s="64">
        <f>$B13</f>
        <v>130</v>
      </c>
      <c r="D13" s="64">
        <f aca="true" t="shared" si="0" ref="D13:J17">$B13</f>
        <v>130</v>
      </c>
      <c r="E13" s="64">
        <f t="shared" si="0"/>
        <v>130</v>
      </c>
      <c r="F13" s="64">
        <f t="shared" si="0"/>
        <v>130</v>
      </c>
      <c r="G13" s="64">
        <f t="shared" si="0"/>
        <v>130</v>
      </c>
      <c r="H13" s="64">
        <f t="shared" si="0"/>
        <v>130</v>
      </c>
      <c r="I13" s="64">
        <f t="shared" si="0"/>
        <v>130</v>
      </c>
      <c r="J13" s="65">
        <f t="shared" si="0"/>
        <v>130</v>
      </c>
    </row>
    <row r="14" spans="1:10" ht="16.5" customHeight="1">
      <c r="A14" s="54" t="s">
        <v>35</v>
      </c>
      <c r="B14" s="92">
        <v>40</v>
      </c>
      <c r="C14" s="66">
        <f>$B14</f>
        <v>40</v>
      </c>
      <c r="D14" s="66">
        <f t="shared" si="0"/>
        <v>40</v>
      </c>
      <c r="E14" s="66">
        <f t="shared" si="0"/>
        <v>40</v>
      </c>
      <c r="F14" s="66">
        <f t="shared" si="0"/>
        <v>40</v>
      </c>
      <c r="G14" s="66">
        <f t="shared" si="0"/>
        <v>40</v>
      </c>
      <c r="H14" s="66">
        <f t="shared" si="0"/>
        <v>40</v>
      </c>
      <c r="I14" s="66">
        <f t="shared" si="0"/>
        <v>40</v>
      </c>
      <c r="J14" s="67">
        <f t="shared" si="0"/>
        <v>40</v>
      </c>
    </row>
    <row r="15" spans="1:10" ht="16.5" customHeight="1">
      <c r="A15" s="54" t="s">
        <v>47</v>
      </c>
      <c r="B15" s="92">
        <v>100</v>
      </c>
      <c r="C15" s="66">
        <f>$B15</f>
        <v>100</v>
      </c>
      <c r="D15" s="66">
        <f t="shared" si="0"/>
        <v>100</v>
      </c>
      <c r="E15" s="66">
        <f t="shared" si="0"/>
        <v>100</v>
      </c>
      <c r="F15" s="66">
        <f t="shared" si="0"/>
        <v>100</v>
      </c>
      <c r="G15" s="66">
        <f t="shared" si="0"/>
        <v>100</v>
      </c>
      <c r="H15" s="66">
        <f t="shared" si="0"/>
        <v>100</v>
      </c>
      <c r="I15" s="66">
        <f t="shared" si="0"/>
        <v>100</v>
      </c>
      <c r="J15" s="67">
        <f t="shared" si="0"/>
        <v>100</v>
      </c>
    </row>
    <row r="16" spans="1:10" ht="16.5" customHeight="1">
      <c r="A16" s="54" t="s">
        <v>36</v>
      </c>
      <c r="B16" s="92">
        <v>1</v>
      </c>
      <c r="C16" s="66">
        <f>$B16</f>
        <v>1</v>
      </c>
      <c r="D16" s="66">
        <f t="shared" si="0"/>
        <v>1</v>
      </c>
      <c r="E16" s="66">
        <f t="shared" si="0"/>
        <v>1</v>
      </c>
      <c r="F16" s="66">
        <f t="shared" si="0"/>
        <v>1</v>
      </c>
      <c r="G16" s="66">
        <f t="shared" si="0"/>
        <v>1</v>
      </c>
      <c r="H16" s="66">
        <f t="shared" si="0"/>
        <v>1</v>
      </c>
      <c r="I16" s="66">
        <f t="shared" si="0"/>
        <v>1</v>
      </c>
      <c r="J16" s="67">
        <f t="shared" si="0"/>
        <v>1</v>
      </c>
    </row>
    <row r="17" spans="1:10" ht="16.5" customHeight="1">
      <c r="A17" s="51" t="s">
        <v>37</v>
      </c>
      <c r="B17" s="93">
        <v>1</v>
      </c>
      <c r="C17" s="68">
        <f>$B17</f>
        <v>1</v>
      </c>
      <c r="D17" s="68">
        <f t="shared" si="0"/>
        <v>1</v>
      </c>
      <c r="E17" s="68">
        <f t="shared" si="0"/>
        <v>1</v>
      </c>
      <c r="F17" s="68">
        <f t="shared" si="0"/>
        <v>1</v>
      </c>
      <c r="G17" s="68">
        <f t="shared" si="0"/>
        <v>1</v>
      </c>
      <c r="H17" s="68">
        <f t="shared" si="0"/>
        <v>1</v>
      </c>
      <c r="I17" s="68">
        <f t="shared" si="0"/>
        <v>1</v>
      </c>
      <c r="J17" s="69">
        <f t="shared" si="0"/>
        <v>1</v>
      </c>
    </row>
    <row r="18" spans="1:10" ht="16.5" customHeight="1">
      <c r="A18" s="48" t="s">
        <v>38</v>
      </c>
      <c r="B18" s="70">
        <v>4.5</v>
      </c>
      <c r="C18" s="70">
        <v>4.5</v>
      </c>
      <c r="D18" s="70">
        <v>4.2</v>
      </c>
      <c r="E18" s="70">
        <v>4.3</v>
      </c>
      <c r="F18" s="70">
        <v>4.5</v>
      </c>
      <c r="G18" s="70">
        <v>4.2</v>
      </c>
      <c r="H18" s="70">
        <v>4.5</v>
      </c>
      <c r="I18" s="70">
        <v>4.5</v>
      </c>
      <c r="J18" s="70">
        <v>4.4</v>
      </c>
    </row>
    <row r="19" spans="1:10" ht="16.5" customHeight="1">
      <c r="A19" s="39" t="s">
        <v>39</v>
      </c>
      <c r="B19" s="71">
        <v>2</v>
      </c>
      <c r="C19" s="71">
        <v>2.2</v>
      </c>
      <c r="D19" s="71">
        <v>1.9</v>
      </c>
      <c r="E19" s="71">
        <v>1.8</v>
      </c>
      <c r="F19" s="71">
        <v>2.2</v>
      </c>
      <c r="G19" s="71">
        <v>2.2</v>
      </c>
      <c r="H19" s="71">
        <v>2.3</v>
      </c>
      <c r="I19" s="71">
        <v>2.2</v>
      </c>
      <c r="J19" s="71">
        <v>2.1</v>
      </c>
    </row>
    <row r="20" spans="1:10" ht="16.5" customHeight="1">
      <c r="A20" s="25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6.5" customHeight="1">
      <c r="A21" s="13"/>
      <c r="B21" s="61" t="s">
        <v>65</v>
      </c>
      <c r="C21" s="15"/>
      <c r="D21" s="15"/>
      <c r="E21" s="13"/>
      <c r="F21" s="13"/>
      <c r="G21" s="13"/>
      <c r="H21" s="13"/>
      <c r="I21" s="13"/>
      <c r="J21" s="13"/>
    </row>
    <row r="22" spans="1:10" ht="16.5" customHeight="1">
      <c r="A22" s="53" t="s">
        <v>58</v>
      </c>
      <c r="B22" s="36">
        <f aca="true" t="shared" si="1" ref="B22:I23">B48</f>
        <v>115</v>
      </c>
      <c r="C22" s="36">
        <f t="shared" si="1"/>
        <v>115</v>
      </c>
      <c r="D22" s="36">
        <f t="shared" si="1"/>
        <v>115</v>
      </c>
      <c r="E22" s="36">
        <f t="shared" si="1"/>
        <v>115</v>
      </c>
      <c r="F22" s="36">
        <f t="shared" si="1"/>
        <v>115</v>
      </c>
      <c r="G22" s="36">
        <f t="shared" si="1"/>
        <v>115</v>
      </c>
      <c r="H22" s="36">
        <f t="shared" si="1"/>
        <v>115</v>
      </c>
      <c r="I22" s="36">
        <f t="shared" si="1"/>
        <v>115</v>
      </c>
      <c r="J22" s="36">
        <f>J48</f>
        <v>115</v>
      </c>
    </row>
    <row r="23" spans="1:10" ht="16.5" customHeight="1">
      <c r="A23" s="51" t="s">
        <v>59</v>
      </c>
      <c r="B23" s="72">
        <f t="shared" si="1"/>
        <v>72.16368076638429</v>
      </c>
      <c r="C23" s="72">
        <f t="shared" si="1"/>
        <v>72.16368076638429</v>
      </c>
      <c r="D23" s="72">
        <f t="shared" si="1"/>
        <v>72.16368076638429</v>
      </c>
      <c r="E23" s="72">
        <f t="shared" si="1"/>
        <v>72.16368076638429</v>
      </c>
      <c r="F23" s="72">
        <f t="shared" si="1"/>
        <v>72.16368076638429</v>
      </c>
      <c r="G23" s="72">
        <f t="shared" si="1"/>
        <v>72.16368076638429</v>
      </c>
      <c r="H23" s="72">
        <f t="shared" si="1"/>
        <v>72.16368076638429</v>
      </c>
      <c r="I23" s="72">
        <f t="shared" si="1"/>
        <v>72.16368076638429</v>
      </c>
      <c r="J23" s="72">
        <f>J49</f>
        <v>72.16368076638429</v>
      </c>
    </row>
    <row r="24" spans="1:12" ht="16.5" customHeight="1">
      <c r="A24" s="54" t="s">
        <v>38</v>
      </c>
      <c r="B24" s="65">
        <f>IF($C9="JESTE",($D$11-$E$11)*(B22-$E$10)/($D$10-$E$10)+$E$11,B18)</f>
        <v>4.228</v>
      </c>
      <c r="C24" s="65">
        <f>IF($C9="JESTE",($D$11-$E$11)*(C22-$E$10)/($D$10-$E$10)+$E$11,C18)</f>
        <v>4.228</v>
      </c>
      <c r="D24" s="65">
        <f aca="true" t="shared" si="2" ref="D24:J24">IF($C9="JESTE",($D$11-$E$11)*(D22-$E$10)/($D$10-$E$10)+$E$11,D18)</f>
        <v>4.228</v>
      </c>
      <c r="E24" s="65">
        <f t="shared" si="2"/>
        <v>4.228</v>
      </c>
      <c r="F24" s="65">
        <f t="shared" si="2"/>
        <v>4.228</v>
      </c>
      <c r="G24" s="65">
        <f t="shared" si="2"/>
        <v>4.228</v>
      </c>
      <c r="H24" s="65">
        <f t="shared" si="2"/>
        <v>4.228</v>
      </c>
      <c r="I24" s="65">
        <f t="shared" si="2"/>
        <v>4.228</v>
      </c>
      <c r="J24" s="65">
        <f t="shared" si="2"/>
        <v>4.228</v>
      </c>
      <c r="K24" s="5"/>
      <c r="L24" s="5"/>
    </row>
    <row r="25" spans="1:12" ht="16.5" customHeight="1">
      <c r="A25" s="51" t="s">
        <v>39</v>
      </c>
      <c r="B25" s="69">
        <f aca="true" t="shared" si="3" ref="B25:J25">IF($F9="JESTE",($G$11-$H$11)*(B23-$H$10)/($G$10-$H$10)+$H$11,B19)</f>
        <v>1.9717892507589834</v>
      </c>
      <c r="C25" s="69">
        <f t="shared" si="3"/>
        <v>1.9717892507589834</v>
      </c>
      <c r="D25" s="69">
        <f t="shared" si="3"/>
        <v>1.9717892507589834</v>
      </c>
      <c r="E25" s="69">
        <f t="shared" si="3"/>
        <v>1.9717892507589834</v>
      </c>
      <c r="F25" s="69">
        <f t="shared" si="3"/>
        <v>1.9717892507589834</v>
      </c>
      <c r="G25" s="69">
        <f t="shared" si="3"/>
        <v>1.9717892507589834</v>
      </c>
      <c r="H25" s="69">
        <f t="shared" si="3"/>
        <v>1.9717892507589834</v>
      </c>
      <c r="I25" s="69">
        <f t="shared" si="3"/>
        <v>1.9717892507589834</v>
      </c>
      <c r="J25" s="69">
        <f t="shared" si="3"/>
        <v>1.9717892507589834</v>
      </c>
      <c r="K25" s="5"/>
      <c r="L25" s="5"/>
    </row>
    <row r="26" spans="1:12" ht="16.5" customHeight="1">
      <c r="A26" s="41" t="s">
        <v>60</v>
      </c>
      <c r="B26" s="35">
        <f aca="true" t="shared" si="4" ref="B26:I26">B13-B14</f>
        <v>90</v>
      </c>
      <c r="C26" s="35">
        <f t="shared" si="4"/>
        <v>90</v>
      </c>
      <c r="D26" s="35">
        <f t="shared" si="4"/>
        <v>90</v>
      </c>
      <c r="E26" s="35">
        <f t="shared" si="4"/>
        <v>90</v>
      </c>
      <c r="F26" s="35">
        <f t="shared" si="4"/>
        <v>90</v>
      </c>
      <c r="G26" s="35">
        <f t="shared" si="4"/>
        <v>90</v>
      </c>
      <c r="H26" s="35">
        <f t="shared" si="4"/>
        <v>90</v>
      </c>
      <c r="I26" s="35">
        <f t="shared" si="4"/>
        <v>90</v>
      </c>
      <c r="J26" s="35">
        <f>J13-J14</f>
        <v>90</v>
      </c>
      <c r="K26" s="5"/>
      <c r="L26" s="5"/>
    </row>
    <row r="27" spans="1:14" ht="16.5" customHeight="1">
      <c r="A27" s="53" t="s">
        <v>40</v>
      </c>
      <c r="B27" s="36">
        <f aca="true" t="shared" si="5" ref="B27:I27">B16*B24</f>
        <v>4.228</v>
      </c>
      <c r="C27" s="36">
        <f t="shared" si="5"/>
        <v>4.228</v>
      </c>
      <c r="D27" s="36">
        <f t="shared" si="5"/>
        <v>4.228</v>
      </c>
      <c r="E27" s="36">
        <f t="shared" si="5"/>
        <v>4.228</v>
      </c>
      <c r="F27" s="36">
        <f t="shared" si="5"/>
        <v>4.228</v>
      </c>
      <c r="G27" s="36">
        <f t="shared" si="5"/>
        <v>4.228</v>
      </c>
      <c r="H27" s="36">
        <f t="shared" si="5"/>
        <v>4.228</v>
      </c>
      <c r="I27" s="36">
        <f t="shared" si="5"/>
        <v>4.228</v>
      </c>
      <c r="J27" s="36">
        <f>J16*J24</f>
        <v>4.228</v>
      </c>
      <c r="K27" s="1"/>
      <c r="L27" s="1"/>
      <c r="M27" s="1"/>
      <c r="N27" s="1"/>
    </row>
    <row r="28" spans="1:14" ht="16.5" customHeight="1">
      <c r="A28" s="51" t="s">
        <v>41</v>
      </c>
      <c r="B28" s="73">
        <f aca="true" t="shared" si="6" ref="B28:I28">B17*B25</f>
        <v>1.9717892507589834</v>
      </c>
      <c r="C28" s="73">
        <f t="shared" si="6"/>
        <v>1.9717892507589834</v>
      </c>
      <c r="D28" s="73">
        <f t="shared" si="6"/>
        <v>1.9717892507589834</v>
      </c>
      <c r="E28" s="73">
        <f t="shared" si="6"/>
        <v>1.9717892507589834</v>
      </c>
      <c r="F28" s="73">
        <f t="shared" si="6"/>
        <v>1.9717892507589834</v>
      </c>
      <c r="G28" s="73">
        <f t="shared" si="6"/>
        <v>1.9717892507589834</v>
      </c>
      <c r="H28" s="73">
        <f t="shared" si="6"/>
        <v>1.9717892507589834</v>
      </c>
      <c r="I28" s="73">
        <f t="shared" si="6"/>
        <v>1.9717892507589834</v>
      </c>
      <c r="J28" s="73">
        <f>J17*J25</f>
        <v>1.9717892507589834</v>
      </c>
      <c r="K28" s="6"/>
      <c r="L28" s="1"/>
      <c r="M28" s="1"/>
      <c r="N28" s="1"/>
    </row>
    <row r="29" spans="1:14" ht="16.5" customHeight="1">
      <c r="A29" s="47" t="s">
        <v>5</v>
      </c>
      <c r="B29" s="36">
        <f aca="true" t="shared" si="7" ref="B29:I29">IF(B28&lt;B27,B28/B27,B27/B28)</f>
        <v>0.46636453423817015</v>
      </c>
      <c r="C29" s="36">
        <f t="shared" si="7"/>
        <v>0.46636453423817015</v>
      </c>
      <c r="D29" s="36">
        <f t="shared" si="7"/>
        <v>0.46636453423817015</v>
      </c>
      <c r="E29" s="36">
        <f t="shared" si="7"/>
        <v>0.46636453423817015</v>
      </c>
      <c r="F29" s="36">
        <f t="shared" si="7"/>
        <v>0.46636453423817015</v>
      </c>
      <c r="G29" s="36">
        <f t="shared" si="7"/>
        <v>0.46636453423817015</v>
      </c>
      <c r="H29" s="36">
        <f t="shared" si="7"/>
        <v>0.46636453423817015</v>
      </c>
      <c r="I29" s="36">
        <f t="shared" si="7"/>
        <v>0.46636453423817015</v>
      </c>
      <c r="J29" s="36">
        <f>J27/J28</f>
        <v>2.144245384425619</v>
      </c>
      <c r="K29" s="6"/>
      <c r="L29" s="1"/>
      <c r="M29" s="1"/>
      <c r="N29" s="1"/>
    </row>
    <row r="30" spans="1:14" ht="16.5" customHeight="1">
      <c r="A30" s="19" t="s">
        <v>48</v>
      </c>
      <c r="B30" s="36">
        <f aca="true" t="shared" si="8" ref="B30:J30">IF($A$11="SEKUNDAR",B15-B14,B27*B31/B28)</f>
        <v>64.32736153276858</v>
      </c>
      <c r="C30" s="36">
        <f t="shared" si="8"/>
        <v>64.32736153276858</v>
      </c>
      <c r="D30" s="36">
        <f t="shared" si="8"/>
        <v>64.32736153276858</v>
      </c>
      <c r="E30" s="36">
        <f t="shared" si="8"/>
        <v>64.32736153276858</v>
      </c>
      <c r="F30" s="36">
        <f t="shared" si="8"/>
        <v>64.32736153276858</v>
      </c>
      <c r="G30" s="36">
        <f t="shared" si="8"/>
        <v>64.32736153276858</v>
      </c>
      <c r="H30" s="36">
        <f t="shared" si="8"/>
        <v>64.32736153276858</v>
      </c>
      <c r="I30" s="36">
        <f t="shared" si="8"/>
        <v>64.32736153276858</v>
      </c>
      <c r="J30" s="36">
        <f t="shared" si="8"/>
        <v>64.32736153276858</v>
      </c>
      <c r="M30" s="1"/>
      <c r="N30" s="1"/>
    </row>
    <row r="31" spans="1:14" ht="16.5" customHeight="1">
      <c r="A31" s="21" t="s">
        <v>49</v>
      </c>
      <c r="B31" s="74">
        <f aca="true" t="shared" si="9" ref="B31:J31">IF($A$11="PRIMAR",B13-B15,B28*B30/B27)</f>
        <v>30</v>
      </c>
      <c r="C31" s="74">
        <f t="shared" si="9"/>
        <v>30</v>
      </c>
      <c r="D31" s="74">
        <f t="shared" si="9"/>
        <v>30</v>
      </c>
      <c r="E31" s="74">
        <f t="shared" si="9"/>
        <v>30</v>
      </c>
      <c r="F31" s="74">
        <f t="shared" si="9"/>
        <v>30</v>
      </c>
      <c r="G31" s="74">
        <f t="shared" si="9"/>
        <v>30</v>
      </c>
      <c r="H31" s="74">
        <f t="shared" si="9"/>
        <v>30</v>
      </c>
      <c r="I31" s="74">
        <f t="shared" si="9"/>
        <v>30</v>
      </c>
      <c r="J31" s="74">
        <f t="shared" si="9"/>
        <v>30</v>
      </c>
      <c r="K31" s="3"/>
      <c r="L31" s="1"/>
      <c r="M31" s="1"/>
      <c r="N31" s="1"/>
    </row>
    <row r="32" spans="1:14" ht="16.5" customHeight="1">
      <c r="A32" s="21" t="s">
        <v>50</v>
      </c>
      <c r="B32" s="74">
        <f aca="true" t="shared" si="10" ref="B32:J32">IF(B30&gt;B31,B30,B31)</f>
        <v>64.32736153276858</v>
      </c>
      <c r="C32" s="74">
        <f t="shared" si="10"/>
        <v>64.32736153276858</v>
      </c>
      <c r="D32" s="74">
        <f t="shared" si="10"/>
        <v>64.32736153276858</v>
      </c>
      <c r="E32" s="74">
        <f t="shared" si="10"/>
        <v>64.32736153276858</v>
      </c>
      <c r="F32" s="74">
        <f t="shared" si="10"/>
        <v>64.32736153276858</v>
      </c>
      <c r="G32" s="74">
        <f t="shared" si="10"/>
        <v>64.32736153276858</v>
      </c>
      <c r="H32" s="74">
        <f t="shared" si="10"/>
        <v>64.32736153276858</v>
      </c>
      <c r="I32" s="74">
        <f t="shared" si="10"/>
        <v>64.32736153276858</v>
      </c>
      <c r="J32" s="74">
        <f t="shared" si="10"/>
        <v>64.32736153276858</v>
      </c>
      <c r="K32" s="7"/>
      <c r="L32" s="1"/>
      <c r="M32" s="1"/>
      <c r="N32" s="1"/>
    </row>
    <row r="33" spans="1:14" ht="16.5" customHeight="1">
      <c r="A33" s="48" t="s">
        <v>3</v>
      </c>
      <c r="B33" s="72">
        <f aca="true" t="shared" si="11" ref="B33:I33">B32/B26</f>
        <v>0.7147484614752064</v>
      </c>
      <c r="C33" s="72">
        <f t="shared" si="11"/>
        <v>0.7147484614752064</v>
      </c>
      <c r="D33" s="72">
        <f t="shared" si="11"/>
        <v>0.7147484614752064</v>
      </c>
      <c r="E33" s="74">
        <f t="shared" si="11"/>
        <v>0.7147484614752064</v>
      </c>
      <c r="F33" s="74">
        <f t="shared" si="11"/>
        <v>0.7147484614752064</v>
      </c>
      <c r="G33" s="74">
        <f t="shared" si="11"/>
        <v>0.7147484614752064</v>
      </c>
      <c r="H33" s="74">
        <f t="shared" si="11"/>
        <v>0.7147484614752064</v>
      </c>
      <c r="I33" s="74">
        <f t="shared" si="11"/>
        <v>0.7147484614752064</v>
      </c>
      <c r="J33" s="74">
        <f>J31/J26</f>
        <v>0.3333333333333333</v>
      </c>
      <c r="K33" s="8"/>
      <c r="L33" s="1"/>
      <c r="M33" s="1"/>
      <c r="N33" s="1"/>
    </row>
    <row r="34" spans="1:14" ht="16.5" customHeight="1">
      <c r="A34" s="40" t="s">
        <v>42</v>
      </c>
      <c r="B34" s="94"/>
      <c r="C34" s="63"/>
      <c r="D34" s="63"/>
      <c r="E34" s="72">
        <f>(((1-E29*E33)/(1-E33))^(1/E12)-1)/(((1-E29*E33)/(1-E33))^(1/E12)-E29)</f>
        <v>0.7147484614752064</v>
      </c>
      <c r="F34" s="72">
        <f>(((1-F29*F33)/(1-F33))^(1/F12)-1)/(((1-F29*F33)/(1-F33))^(1/F12)-F29)</f>
        <v>0.4977072046227256</v>
      </c>
      <c r="G34" s="72">
        <f>(((1-G29*G33)/(1-G33))^(1/G12)-1)/(((1-G29*G33)/(1-G33))^(1/G12)-G29)</f>
        <v>0.38000168455309824</v>
      </c>
      <c r="H34" s="72">
        <f>(((1-H29*H33)/(1-H33))^(1/H12)-1)/(((1-H29*H33)/(1-H33))^(1/H12)-H29)</f>
        <v>0.30702751595010264</v>
      </c>
      <c r="I34" s="72">
        <f>(((1-I29*I33)/(1-I33))^(1/I12)-1)/(((1-I29*I33)/(1-I33))^(1/I12)-I29)</f>
        <v>0.4977072046227256</v>
      </c>
      <c r="J34" s="50" t="s">
        <v>8</v>
      </c>
      <c r="K34" s="8"/>
      <c r="L34" s="1"/>
      <c r="M34" s="1"/>
      <c r="N34" s="1"/>
    </row>
    <row r="35" spans="1:14" ht="16.5" customHeight="1">
      <c r="A35" s="39" t="s">
        <v>51</v>
      </c>
      <c r="B35" s="35">
        <f>1/(1+B29)</f>
        <v>0.681958664882424</v>
      </c>
      <c r="C35" s="95"/>
      <c r="D35" s="35">
        <f>1/(1+D29/2)</f>
        <v>0.8109101360467688</v>
      </c>
      <c r="E35" s="72">
        <f>2/(1+E29+(1+E29^2)^0.5)</f>
        <v>0.7782808308807925</v>
      </c>
      <c r="F35" s="72">
        <f>2/(1+F29+(1+F29^2)^0.5)</f>
        <v>0.7782808308807925</v>
      </c>
      <c r="G35" s="72">
        <f>2/(1+G29+(1+G29^2)^0.5)</f>
        <v>0.7782808308807925</v>
      </c>
      <c r="H35" s="72">
        <f>2/(1+H29+(1+H29^2)^0.5)</f>
        <v>0.7782808308807925</v>
      </c>
      <c r="I35" s="72">
        <f>2/(1+I29+(1+I29^2)^(1/3))</f>
        <v>0.7892153126417142</v>
      </c>
      <c r="J35" s="37">
        <f>J39</f>
        <v>0.8112821391123842</v>
      </c>
      <c r="K35" s="8"/>
      <c r="L35" s="1"/>
      <c r="M35" s="1"/>
      <c r="N35" s="1"/>
    </row>
    <row r="36" spans="1:14" ht="16.5" customHeight="1">
      <c r="A36" s="39" t="s">
        <v>6</v>
      </c>
      <c r="B36" s="17" t="str">
        <f>IF(B33&gt;B35,"SOS",LN(1/(1-B33*(1+B29)))/(1+B29))</f>
        <v>SOS</v>
      </c>
      <c r="C36" s="18">
        <f>LN((1-C29*C33)/(1-C33))/(1-C29)</f>
        <v>1.5908215308235145</v>
      </c>
      <c r="D36" s="17">
        <f>IF(D33&gt;D35,"SOS",LN((1-D29*D33/2)/(1-D33*(1+D29/2))))</f>
        <v>1.9498047997628183</v>
      </c>
      <c r="E36" s="17">
        <f>IF(E34&gt;E35,"SOS",E12*LN((2-E34*(1+E29-(1+E29^2)^0.5))/(2-E34*(1+E29+(1+E29^2)^0.5)))/(1+E29^2)^0.5)</f>
        <v>2.144825917558794</v>
      </c>
      <c r="F36" s="17">
        <f>IF(F34&gt;F35,"SOS",F12*LN((2-F34*(1+F29-(1+F29^2)^0.5))/(2-F34*(1+F29+(1+F29^2)^0.5)))/(1+F29^2)^0.5)</f>
        <v>1.6776911800741379</v>
      </c>
      <c r="G36" s="17">
        <f>IF(G34&gt;G35,"SOS",G12*LN((2-G34*(1+G29-(1+G29^2)^0.5))/(2-G34*(1+G29+(1+G29^2)^0.5)))/(1+G29^2)^0.5)</f>
        <v>1.6271798815845904</v>
      </c>
      <c r="H36" s="17">
        <f>IF(H34&gt;H35,"SOS",H12*LN((2-H34*(1+H29-(1+H29^2)^0.5))/(2-H34*(1+H29+(1+H29^2)^0.5)))/(1+H29^2)^0.5)</f>
        <v>1.6108703349704567</v>
      </c>
      <c r="I36" s="17">
        <f>IF(I34&gt;I35,"SOS",I12*LN((2-I34*(1+I29-(1+I29^2)^(1/3)))/(2-I34*(1+I29+(1+I29^2)^(1/3))))/(1+I29^2)^(1/3))</f>
        <v>1.6698218438794463</v>
      </c>
      <c r="J36" s="17">
        <f>LN((1-J29*J33)/(1-J33))/(J35*(1-J29))</f>
        <v>0.9144817893936005</v>
      </c>
      <c r="K36" s="7"/>
      <c r="L36" s="1"/>
      <c r="M36" s="1"/>
      <c r="N36" s="1"/>
    </row>
    <row r="37" spans="1:14" ht="16.5" customHeight="1">
      <c r="A37" s="47" t="s">
        <v>9</v>
      </c>
      <c r="B37" s="20" t="str">
        <f aca="true" t="shared" si="12" ref="B37:I37">IF(B36="SOS","SOS",B36*IF(B27&gt;B28,B28,B27))</f>
        <v>SOS</v>
      </c>
      <c r="C37" s="20">
        <f t="shared" si="12"/>
        <v>3.136764794353757</v>
      </c>
      <c r="D37" s="20">
        <f t="shared" si="12"/>
        <v>3.8446041452505972</v>
      </c>
      <c r="E37" s="20">
        <f t="shared" si="12"/>
        <v>4.2291446889917035</v>
      </c>
      <c r="F37" s="20">
        <f t="shared" si="12"/>
        <v>3.308053434963339</v>
      </c>
      <c r="G37" s="20">
        <f t="shared" si="12"/>
        <v>3.2084557995597707</v>
      </c>
      <c r="H37" s="20">
        <f t="shared" si="12"/>
        <v>3.1762968108612695</v>
      </c>
      <c r="I37" s="20">
        <f t="shared" si="12"/>
        <v>3.2925367624440374</v>
      </c>
      <c r="J37" s="20">
        <f>J36*J27</f>
        <v>3.8664290055561428</v>
      </c>
      <c r="K37" s="9"/>
      <c r="L37" s="1"/>
      <c r="M37" s="1"/>
      <c r="N37" s="1"/>
    </row>
    <row r="38" spans="1:14" ht="16.5" customHeight="1">
      <c r="A38" s="48" t="s">
        <v>1</v>
      </c>
      <c r="B38" s="74">
        <f>IF(B29=1,B26-B30,IF(B30&gt;B31,B30-B31,B31-B30)/LN((B26-IF(B30&gt;B31,B31,B30))/(B26-IF(B30&gt;B31,B30,B31))))</f>
        <v>40.4365670732835</v>
      </c>
      <c r="C38" s="74">
        <f aca="true" t="shared" si="13" ref="C38:I38">IF(C29=1,C26-C30,IF(C30&gt;C31,C30-C31,C31-C30)/LN((C26-IF(C30&gt;C31,C31,C30))/(C26-IF(C30&gt;C31,C30,C31))))</f>
        <v>40.4365670732835</v>
      </c>
      <c r="D38" s="74">
        <f t="shared" si="13"/>
        <v>40.4365670732835</v>
      </c>
      <c r="E38" s="74">
        <f t="shared" si="13"/>
        <v>40.4365670732835</v>
      </c>
      <c r="F38" s="74">
        <f t="shared" si="13"/>
        <v>40.4365670732835</v>
      </c>
      <c r="G38" s="74">
        <f t="shared" si="13"/>
        <v>40.4365670732835</v>
      </c>
      <c r="H38" s="74">
        <f t="shared" si="13"/>
        <v>40.4365670732835</v>
      </c>
      <c r="I38" s="74">
        <f t="shared" si="13"/>
        <v>40.4365670732835</v>
      </c>
      <c r="J38" s="74">
        <f>IF(J29=1,J26-J30,IF(J30&gt;J31,J30-J31,J31-J30)/LN((J26-IF(J30&gt;J31,J31,J30))/(J26-IF(J30&gt;J31,J30,J31))))</f>
        <v>40.4365670732835</v>
      </c>
      <c r="K38" s="1"/>
      <c r="L38" s="1"/>
      <c r="M38" s="1"/>
      <c r="N38" s="1"/>
    </row>
    <row r="39" spans="1:10" ht="16.5" customHeight="1">
      <c r="A39" s="49" t="s">
        <v>8</v>
      </c>
      <c r="B39" s="74" t="str">
        <f aca="true" t="shared" si="14" ref="B39:I39">IF(B36="SOS","SOS",B33*B26/(B36*B38))</f>
        <v>SOS</v>
      </c>
      <c r="C39" s="74">
        <f t="shared" si="14"/>
        <v>1</v>
      </c>
      <c r="D39" s="74">
        <f t="shared" si="14"/>
        <v>0.815887585781422</v>
      </c>
      <c r="E39" s="74">
        <f t="shared" si="14"/>
        <v>0.741701933849327</v>
      </c>
      <c r="F39" s="74">
        <f t="shared" si="14"/>
        <v>0.9482207153006643</v>
      </c>
      <c r="G39" s="74">
        <f t="shared" si="14"/>
        <v>0.9776556045385288</v>
      </c>
      <c r="H39" s="74">
        <f t="shared" si="14"/>
        <v>0.9875540546549888</v>
      </c>
      <c r="I39" s="74">
        <f t="shared" si="14"/>
        <v>0.9526893762077081</v>
      </c>
      <c r="J39" s="74">
        <f>1/(1+J8*J29^(J9*J11)*J36^J9)^J11</f>
        <v>0.8112821391123842</v>
      </c>
    </row>
    <row r="40" spans="1:10" ht="16.5" customHeight="1">
      <c r="A40" s="22" t="s">
        <v>43</v>
      </c>
      <c r="B40" s="72" t="str">
        <f aca="true" t="shared" si="15" ref="B40:J40">IF(B36="SOS","SOS",B38*B39)</f>
        <v>SOS</v>
      </c>
      <c r="C40" s="72">
        <f t="shared" si="15"/>
        <v>40.4365670732835</v>
      </c>
      <c r="D40" s="72">
        <f t="shared" si="15"/>
        <v>32.991693086709816</v>
      </c>
      <c r="E40" s="72">
        <f t="shared" si="15"/>
        <v>29.991879996482393</v>
      </c>
      <c r="F40" s="72">
        <f t="shared" si="15"/>
        <v>38.34279055453217</v>
      </c>
      <c r="G40" s="72">
        <f t="shared" si="15"/>
        <v>39.53303642749375</v>
      </c>
      <c r="H40" s="72">
        <f t="shared" si="15"/>
        <v>39.93329576954953</v>
      </c>
      <c r="I40" s="72">
        <f t="shared" si="15"/>
        <v>38.523487861027604</v>
      </c>
      <c r="J40" s="72">
        <f t="shared" si="15"/>
        <v>32.805464633574836</v>
      </c>
    </row>
    <row r="41" spans="1:10" ht="16.5" customHeight="1">
      <c r="A41" s="47" t="s">
        <v>44</v>
      </c>
      <c r="B41" s="20">
        <f>B27*B31</f>
        <v>126.83999999999999</v>
      </c>
      <c r="C41" s="20">
        <f aca="true" t="shared" si="16" ref="C41:I41">C31*IF(C28&gt;C27,C28,C27)</f>
        <v>126.83999999999999</v>
      </c>
      <c r="D41" s="20">
        <f t="shared" si="16"/>
        <v>126.83999999999999</v>
      </c>
      <c r="E41" s="20">
        <f t="shared" si="16"/>
        <v>126.83999999999999</v>
      </c>
      <c r="F41" s="20">
        <f t="shared" si="16"/>
        <v>126.83999999999999</v>
      </c>
      <c r="G41" s="20">
        <f t="shared" si="16"/>
        <v>126.83999999999999</v>
      </c>
      <c r="H41" s="20">
        <f t="shared" si="16"/>
        <v>126.83999999999999</v>
      </c>
      <c r="I41" s="20">
        <f t="shared" si="16"/>
        <v>126.83999999999999</v>
      </c>
      <c r="J41" s="20">
        <f>J31*IF(J28&gt;J27,J28,J27)</f>
        <v>126.83999999999999</v>
      </c>
    </row>
    <row r="42" spans="1:10" ht="16.5" customHeight="1">
      <c r="A42" s="48" t="s">
        <v>45</v>
      </c>
      <c r="B42" s="75">
        <f>B28*B30</f>
        <v>126.84</v>
      </c>
      <c r="C42" s="75">
        <f aca="true" t="shared" si="17" ref="C42:I42">C30*IF(C28&gt;C27,C27,C28)</f>
        <v>126.84</v>
      </c>
      <c r="D42" s="75">
        <f t="shared" si="17"/>
        <v>126.84</v>
      </c>
      <c r="E42" s="75">
        <f t="shared" si="17"/>
        <v>126.84</v>
      </c>
      <c r="F42" s="75">
        <f t="shared" si="17"/>
        <v>126.84</v>
      </c>
      <c r="G42" s="75">
        <f t="shared" si="17"/>
        <v>126.84</v>
      </c>
      <c r="H42" s="75">
        <f t="shared" si="17"/>
        <v>126.84</v>
      </c>
      <c r="I42" s="75">
        <f t="shared" si="17"/>
        <v>126.84</v>
      </c>
      <c r="J42" s="75">
        <f>J30*IF(J28&gt;J27,J27,J28)</f>
        <v>126.84</v>
      </c>
    </row>
    <row r="43" spans="1:10" ht="16.5" customHeight="1">
      <c r="A43" s="39" t="s">
        <v>46</v>
      </c>
      <c r="B43" s="76" t="str">
        <f aca="true" t="shared" si="18" ref="B43:I43">IF(B36="SOS","SOS",B37*B40)</f>
        <v>SOS</v>
      </c>
      <c r="C43" s="76">
        <f t="shared" si="18"/>
        <v>126.84</v>
      </c>
      <c r="D43" s="76">
        <f t="shared" si="18"/>
        <v>126.84000000000003</v>
      </c>
      <c r="E43" s="76">
        <f t="shared" si="18"/>
        <v>126.84000000000002</v>
      </c>
      <c r="F43" s="76">
        <f t="shared" si="18"/>
        <v>126.84000000000002</v>
      </c>
      <c r="G43" s="76">
        <f t="shared" si="18"/>
        <v>126.83999999999999</v>
      </c>
      <c r="H43" s="76">
        <f t="shared" si="18"/>
        <v>126.84</v>
      </c>
      <c r="I43" s="76">
        <f t="shared" si="18"/>
        <v>126.84</v>
      </c>
      <c r="J43" s="76">
        <f>IF(J36="SOS","SOS",J37*J40)</f>
        <v>126.83999999999996</v>
      </c>
    </row>
    <row r="44" spans="1:10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6.5" customHeight="1">
      <c r="A45" s="13"/>
      <c r="B45" s="61" t="s">
        <v>0</v>
      </c>
      <c r="C45" s="15"/>
      <c r="D45" s="15"/>
      <c r="E45" s="13"/>
      <c r="F45" s="13"/>
      <c r="G45" s="13"/>
      <c r="H45" s="13"/>
      <c r="I45" s="13"/>
      <c r="J45" s="13"/>
    </row>
    <row r="46" spans="1:10" ht="16.5" customHeight="1">
      <c r="A46" s="53" t="s">
        <v>52</v>
      </c>
      <c r="B46" s="96">
        <f>B13-B31</f>
        <v>100</v>
      </c>
      <c r="C46" s="96">
        <f aca="true" t="shared" si="19" ref="C46:I46">C13-C31</f>
        <v>100</v>
      </c>
      <c r="D46" s="96">
        <f t="shared" si="19"/>
        <v>100</v>
      </c>
      <c r="E46" s="96">
        <f t="shared" si="19"/>
        <v>100</v>
      </c>
      <c r="F46" s="96">
        <f t="shared" si="19"/>
        <v>100</v>
      </c>
      <c r="G46" s="96">
        <f t="shared" si="19"/>
        <v>100</v>
      </c>
      <c r="H46" s="96">
        <f t="shared" si="19"/>
        <v>100</v>
      </c>
      <c r="I46" s="96">
        <f t="shared" si="19"/>
        <v>100</v>
      </c>
      <c r="J46" s="96">
        <f>J13-J31</f>
        <v>100</v>
      </c>
    </row>
    <row r="47" spans="1:10" ht="16.5" customHeight="1">
      <c r="A47" s="54" t="s">
        <v>53</v>
      </c>
      <c r="B47" s="96">
        <f>B14+B30</f>
        <v>104.32736153276858</v>
      </c>
      <c r="C47" s="96">
        <f aca="true" t="shared" si="20" ref="C47:I47">C14+C30</f>
        <v>104.32736153276858</v>
      </c>
      <c r="D47" s="96">
        <f t="shared" si="20"/>
        <v>104.32736153276858</v>
      </c>
      <c r="E47" s="96">
        <f t="shared" si="20"/>
        <v>104.32736153276858</v>
      </c>
      <c r="F47" s="96">
        <f t="shared" si="20"/>
        <v>104.32736153276858</v>
      </c>
      <c r="G47" s="96">
        <f t="shared" si="20"/>
        <v>104.32736153276858</v>
      </c>
      <c r="H47" s="96">
        <f t="shared" si="20"/>
        <v>104.32736153276858</v>
      </c>
      <c r="I47" s="96">
        <f t="shared" si="20"/>
        <v>104.32736153276858</v>
      </c>
      <c r="J47" s="96">
        <f>J14+J30</f>
        <v>104.32736153276858</v>
      </c>
    </row>
    <row r="48" spans="1:10" ht="16.5" customHeight="1">
      <c r="A48" s="53" t="s">
        <v>58</v>
      </c>
      <c r="B48" s="77">
        <f aca="true" t="shared" si="21" ref="B48:J48">(B13+B46)/2</f>
        <v>115</v>
      </c>
      <c r="C48" s="77">
        <f t="shared" si="21"/>
        <v>115</v>
      </c>
      <c r="D48" s="77">
        <f t="shared" si="21"/>
        <v>115</v>
      </c>
      <c r="E48" s="77">
        <f t="shared" si="21"/>
        <v>115</v>
      </c>
      <c r="F48" s="77">
        <f t="shared" si="21"/>
        <v>115</v>
      </c>
      <c r="G48" s="77">
        <f t="shared" si="21"/>
        <v>115</v>
      </c>
      <c r="H48" s="77">
        <f t="shared" si="21"/>
        <v>115</v>
      </c>
      <c r="I48" s="77">
        <f t="shared" si="21"/>
        <v>115</v>
      </c>
      <c r="J48" s="77">
        <f t="shared" si="21"/>
        <v>115</v>
      </c>
    </row>
    <row r="49" spans="1:10" ht="16.5" customHeight="1">
      <c r="A49" s="51" t="s">
        <v>59</v>
      </c>
      <c r="B49" s="78">
        <f aca="true" t="shared" si="22" ref="B49:J49">(B14+B47)/2</f>
        <v>72.16368076638429</v>
      </c>
      <c r="C49" s="78">
        <f t="shared" si="22"/>
        <v>72.16368076638429</v>
      </c>
      <c r="D49" s="78">
        <f t="shared" si="22"/>
        <v>72.16368076638429</v>
      </c>
      <c r="E49" s="78">
        <f t="shared" si="22"/>
        <v>72.16368076638429</v>
      </c>
      <c r="F49" s="78">
        <f t="shared" si="22"/>
        <v>72.16368076638429</v>
      </c>
      <c r="G49" s="78">
        <f t="shared" si="22"/>
        <v>72.16368076638429</v>
      </c>
      <c r="H49" s="78">
        <f t="shared" si="22"/>
        <v>72.16368076638429</v>
      </c>
      <c r="I49" s="78">
        <f t="shared" si="22"/>
        <v>72.16368076638429</v>
      </c>
      <c r="J49" s="78">
        <f t="shared" si="22"/>
        <v>72.16368076638429</v>
      </c>
    </row>
    <row r="50" spans="1:10" ht="16.5" customHeight="1">
      <c r="A50" s="55" t="s">
        <v>62</v>
      </c>
      <c r="B50" s="14" t="s">
        <v>2</v>
      </c>
      <c r="C50" s="14" t="s">
        <v>7</v>
      </c>
      <c r="D50" s="34" t="s">
        <v>4</v>
      </c>
      <c r="E50" s="14" t="str">
        <f>E7</f>
        <v>RT21</v>
      </c>
      <c r="F50" s="14" t="str">
        <f>F7</f>
        <v>RT42</v>
      </c>
      <c r="G50" s="14" t="str">
        <f>G7</f>
        <v>RT63</v>
      </c>
      <c r="H50" s="14" t="str">
        <f>H7</f>
        <v>RT84</v>
      </c>
      <c r="I50" s="14" t="str">
        <f>I7</f>
        <v>RT62</v>
      </c>
      <c r="J50" s="14" t="s">
        <v>27</v>
      </c>
    </row>
    <row r="51" spans="1:10" ht="16.5" customHeight="1">
      <c r="A51" s="23"/>
      <c r="B51" s="24"/>
      <c r="C51" s="24"/>
      <c r="D51" s="24"/>
      <c r="J51" s="13"/>
    </row>
    <row r="52" spans="1:10" ht="16.5" customHeight="1">
      <c r="A52" s="56"/>
      <c r="B52" s="79" t="s">
        <v>71</v>
      </c>
      <c r="C52" s="56"/>
      <c r="D52" s="56"/>
      <c r="E52" s="56"/>
      <c r="F52" s="56"/>
      <c r="G52" s="56"/>
      <c r="H52" s="56"/>
      <c r="I52" s="57"/>
      <c r="J52" s="57"/>
    </row>
    <row r="53" spans="1:10" ht="16.5" customHeight="1">
      <c r="A53" s="80">
        <v>1</v>
      </c>
      <c r="B53" s="81" t="s">
        <v>10</v>
      </c>
      <c r="C53" s="81"/>
      <c r="D53" s="81"/>
      <c r="E53" s="57"/>
      <c r="F53" s="80">
        <v>2</v>
      </c>
      <c r="G53" s="81" t="s">
        <v>11</v>
      </c>
      <c r="H53" s="56"/>
      <c r="I53" s="57"/>
      <c r="J53" s="57"/>
    </row>
    <row r="54" spans="1:10" ht="16.5" customHeight="1">
      <c r="A54" s="82"/>
      <c r="B54" s="81" t="s">
        <v>67</v>
      </c>
      <c r="C54" s="82"/>
      <c r="D54" s="82"/>
      <c r="E54" s="57"/>
      <c r="F54" s="82"/>
      <c r="G54" s="82" t="s">
        <v>12</v>
      </c>
      <c r="H54" s="83"/>
      <c r="I54" s="97"/>
      <c r="J54" s="57"/>
    </row>
    <row r="55" spans="1:10" ht="16.5" customHeight="1">
      <c r="A55" s="81"/>
      <c r="B55" s="81" t="s">
        <v>68</v>
      </c>
      <c r="C55" s="81"/>
      <c r="D55" s="81"/>
      <c r="E55" s="57"/>
      <c r="F55" s="81"/>
      <c r="G55" s="81" t="s">
        <v>66</v>
      </c>
      <c r="H55" s="56"/>
      <c r="I55" s="57"/>
      <c r="J55" s="57"/>
    </row>
    <row r="56" spans="1:10" ht="16.5" customHeight="1">
      <c r="A56" s="81"/>
      <c r="B56" s="81" t="s">
        <v>69</v>
      </c>
      <c r="C56" s="81"/>
      <c r="D56" s="81"/>
      <c r="E56" s="57"/>
      <c r="F56" s="81"/>
      <c r="G56" s="81" t="s">
        <v>70</v>
      </c>
      <c r="H56" s="56"/>
      <c r="I56" s="57"/>
      <c r="J56" s="57"/>
    </row>
    <row r="57" spans="1:10" ht="16.5" customHeight="1">
      <c r="A57" s="81"/>
      <c r="B57" s="81" t="s">
        <v>72</v>
      </c>
      <c r="C57" s="81"/>
      <c r="D57" s="81"/>
      <c r="E57" s="57"/>
      <c r="F57" s="81"/>
      <c r="G57" s="81" t="s">
        <v>13</v>
      </c>
      <c r="H57" s="56"/>
      <c r="I57" s="57"/>
      <c r="J57" s="57"/>
    </row>
    <row r="58" spans="1:10" ht="16.5" customHeight="1">
      <c r="A58" s="81"/>
      <c r="B58" s="81" t="s">
        <v>22</v>
      </c>
      <c r="C58" s="81"/>
      <c r="D58" s="81"/>
      <c r="E58" s="57"/>
      <c r="F58" s="81"/>
      <c r="G58" s="57"/>
      <c r="H58" s="56"/>
      <c r="I58" s="57"/>
      <c r="J58" s="57"/>
    </row>
    <row r="59" ht="16.5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71" spans="1:8" ht="15">
      <c r="A71" s="2"/>
      <c r="B71" s="2"/>
      <c r="C71" s="4"/>
      <c r="D71" s="2"/>
      <c r="E71" s="2"/>
      <c r="F71" s="2"/>
      <c r="G71" s="2"/>
      <c r="H71" s="2"/>
    </row>
  </sheetData>
  <sheetProtection password="C784" sheet="1" objects="1" scenarios="1"/>
  <dataValidations count="14">
    <dataValidation type="list" allowBlank="1" showInputMessage="1" showErrorMessage="1" errorTitle="IZLAZNA TEMPERATURA" error="Mora biti&#10;PRIMAR ili SEKUNDAR" sqref="A11">
      <formula1>"PRIMAR, SEKUNDAR"</formula1>
    </dataValidation>
    <dataValidation allowBlank="1" showInputMessage="1" showErrorMessage="1" promptTitle="Parametar" prompt="ao" sqref="J8"/>
    <dataValidation allowBlank="1" showInputMessage="1" showErrorMessage="1" promptTitle="Parametar" prompt="b" sqref="J9"/>
    <dataValidation allowBlank="1" showInputMessage="1" showErrorMessage="1" promptTitle="Parametar" prompt="c" sqref="J10"/>
    <dataValidation allowBlank="1" showInputMessage="1" showErrorMessage="1" promptTitle="Parametar" prompt="d" sqref="J11"/>
    <dataValidation allowBlank="1" showInputMessage="1" showErrorMessage="1" promptTitle="Specificna toplota" prompt="Automatski uneta aproksimacija ili zadata vrednost" sqref="B24:J25"/>
    <dataValidation type="list" allowBlank="1" showInputMessage="1" showErrorMessage="1" promptTitle="LINEARNA APROKSIMACIJA" prompt="Dozvoljena linearana aproksimacija&#10;spec. toplote SEKUNDARA ?" errorTitle="IZLAZNA TEMPERATURA" error="Mora biti&#10;PRIMAR ili SEKUNDAR" sqref="F9">
      <formula1>"JESTE, NIJE"</formula1>
    </dataValidation>
    <dataValidation type="list" allowBlank="1" showInputMessage="1" showErrorMessage="1" promptTitle="LINEARNA APROKSIMACIJA" prompt="Dozvoljena linearana aproksimacija&#10;spec. toplote PRIMARA ?" errorTitle="IZLAZNA TEMPERATURA" error="Mora biti&#10;PRIMAR ili SEKUNDAR" sqref="C9">
      <formula1>"JESTE, NIJE"</formula1>
    </dataValidation>
    <dataValidation allowBlank="1" showInputMessage="1" showErrorMessage="1" promptTitle="Granica linearnosti" prompt="Visa srednja temperatura" sqref="G10 D10"/>
    <dataValidation allowBlank="1" showInputMessage="1" showErrorMessage="1" prompt="Spec. toplota pri visoj temperaturi" sqref="G11 D11"/>
    <dataValidation allowBlank="1" showInputMessage="1" showErrorMessage="1" promptTitle="Granica linearnosti" prompt="Niza srednja temperatura" sqref="H10 E10"/>
    <dataValidation allowBlank="1" showInputMessage="1" showErrorMessage="1" prompt="Spec. toplota pri nizoj temperaturi " sqref="H11 E11"/>
    <dataValidation allowBlank="1" showInputMessage="1" showErrorMessage="1" promptTitle="Ako nema linearne aproksimacije" prompt="Zadata vrednost prema srednjoj temperaturi (ITERACIJE)" sqref="B18:J19"/>
    <dataValidation allowBlank="1" showInputMessage="1" showErrorMessage="1" prompt="Poruka, SOS ili DIJ/0, oznacavaju da velicina nema realnu vrednost" sqref="B36:J37 B39:J40 B43:J43"/>
  </dataValidations>
  <printOptions/>
  <pageMargins left="0.75" right="0.25" top="0.6" bottom="0.2" header="0.5" footer="0.5"/>
  <pageSetup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2017-05-20T16:47:58Z</dcterms:modified>
  <cp:category>Excelova aplikacija</cp:category>
  <cp:version/>
  <cp:contentType/>
  <cp:contentStatus/>
</cp:coreProperties>
</file>