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35" tabRatio="812" activeTab="0"/>
  </bookViews>
  <sheets>
    <sheet name="KONDENZACIJA" sheetId="1" r:id="rId1"/>
  </sheets>
  <definedNames>
    <definedName name="AKTIV">"GotovOblik 925"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<sst xmlns="http://schemas.openxmlformats.org/spreadsheetml/2006/main" count="157" uniqueCount="77">
  <si>
    <t>C.  ODZIV  SISTEMA</t>
  </si>
  <si>
    <t>LMTD</t>
  </si>
  <si>
    <t>P</t>
  </si>
  <si>
    <t>R</t>
  </si>
  <si>
    <t>e</t>
  </si>
  <si>
    <t>E</t>
  </si>
  <si>
    <t>IZLAZ</t>
  </si>
  <si>
    <t>kA</t>
  </si>
  <si>
    <t>PRIMAR</t>
  </si>
  <si>
    <t>K</t>
  </si>
  <si>
    <t>HP</t>
  </si>
  <si>
    <t>HK</t>
  </si>
  <si>
    <t>cevi</t>
  </si>
  <si>
    <t>Primar u</t>
  </si>
  <si>
    <r>
      <t>L</t>
    </r>
    <r>
      <rPr>
        <vertAlign val="superscript"/>
        <sz val="12"/>
        <rFont val="Arial"/>
        <family val="2"/>
      </rPr>
      <t>HP</t>
    </r>
  </si>
  <si>
    <t>RT21</t>
  </si>
  <si>
    <t>RATING</t>
  </si>
  <si>
    <t>DESIGN</t>
  </si>
  <si>
    <t>RATING   PROBLEM</t>
  </si>
  <si>
    <t>DESIGN   PROBLEM</t>
  </si>
  <si>
    <t>KONFIGURACIJE STRUJANJA</t>
  </si>
  <si>
    <t>Q[kW] Bilans</t>
  </si>
  <si>
    <t>ODZIV SISTEMA UVEK POSTOJI. ZA NEGATIVNE TOPLOTNE</t>
  </si>
  <si>
    <t>ALARM</t>
  </si>
  <si>
    <r>
      <t>k</t>
    </r>
    <r>
      <rPr>
        <vertAlign val="superscript"/>
        <sz val="11"/>
        <rFont val="Arial"/>
        <family val="2"/>
      </rPr>
      <t>HP</t>
    </r>
    <r>
      <rPr>
        <sz val="10"/>
        <rFont val="Arial"/>
        <family val="2"/>
      </rPr>
      <t>[kW/m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K]</t>
    </r>
  </si>
  <si>
    <r>
      <t>Konfig. [</t>
    </r>
    <r>
      <rPr>
        <i/>
        <sz val="12"/>
        <rFont val="Times New Roman"/>
        <family val="1"/>
      </rPr>
      <t>a</t>
    </r>
    <r>
      <rPr>
        <sz val="11"/>
        <rFont val="Arial"/>
        <family val="2"/>
      </rPr>
      <t>]</t>
    </r>
  </si>
  <si>
    <r>
      <t>m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2"/>
      </rPr>
      <t xml:space="preserve"> [kg/s]</t>
    </r>
  </si>
  <si>
    <r>
      <t>m</t>
    </r>
    <r>
      <rPr>
        <i/>
        <vertAlign val="subscript"/>
        <sz val="12"/>
        <rFont val="Times New Roman"/>
        <family val="1"/>
      </rPr>
      <t>s</t>
    </r>
    <r>
      <rPr>
        <sz val="11"/>
        <rFont val="Arial"/>
        <family val="2"/>
      </rPr>
      <t xml:space="preserve"> [kg/s]</t>
    </r>
  </si>
  <si>
    <r>
      <t>P</t>
    </r>
    <r>
      <rPr>
        <i/>
        <vertAlign val="subscript"/>
        <sz val="12"/>
        <rFont val="Times New Roman"/>
        <family val="1"/>
      </rPr>
      <t>a</t>
    </r>
  </si>
  <si>
    <t>NTU = kA/W</t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</si>
  <si>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s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</si>
  <si>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p</t>
    </r>
  </si>
  <si>
    <r>
      <t>P,P</t>
    </r>
    <r>
      <rPr>
        <i/>
        <vertAlign val="subscript"/>
        <sz val="12"/>
        <rFont val="Times New Roman"/>
        <family val="1"/>
      </rPr>
      <t>a max</t>
    </r>
  </si>
  <si>
    <r>
      <t>p</t>
    </r>
    <r>
      <rPr>
        <i/>
        <vertAlign val="subscript"/>
        <sz val="12"/>
        <rFont val="Times New Roman"/>
        <family val="1"/>
      </rPr>
      <t>pa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[bar]</t>
    </r>
  </si>
  <si>
    <r>
      <t>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>'</t>
    </r>
    <r>
      <rPr>
        <sz val="11"/>
        <rFont val="Arial"/>
        <family val="2"/>
      </rPr>
      <t xml:space="preserve">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</si>
  <si>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h</t>
    </r>
    <r>
      <rPr>
        <i/>
        <vertAlign val="subscript"/>
        <sz val="12"/>
        <rFont val="Times New Roman"/>
        <family val="1"/>
      </rPr>
      <t>p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[kJ/kg]</t>
    </r>
  </si>
  <si>
    <r>
      <t>t</t>
    </r>
    <r>
      <rPr>
        <i/>
        <vertAlign val="subscript"/>
        <sz val="12"/>
        <rFont val="Times New Roman"/>
        <family val="1"/>
      </rPr>
      <t>k</t>
    </r>
    <r>
      <rPr>
        <sz val="12"/>
        <rFont val="Arial"/>
        <family val="2"/>
      </rPr>
      <t xml:space="preserve"> 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</si>
  <si>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h"</t>
    </r>
    <r>
      <rPr>
        <i/>
        <vertAlign val="subscript"/>
        <sz val="12"/>
        <rFont val="Times New Roman"/>
        <family val="1"/>
      </rPr>
      <t>p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[kJ/kg]</t>
    </r>
  </si>
  <si>
    <r>
      <t>h'</t>
    </r>
    <r>
      <rPr>
        <i/>
        <vertAlign val="subscript"/>
        <sz val="12"/>
        <rFont val="Times New Roman"/>
        <family val="1"/>
      </rPr>
      <t>p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[kJ/kg]</t>
    </r>
  </si>
  <si>
    <r>
      <t>r</t>
    </r>
    <r>
      <rPr>
        <sz val="12"/>
        <rFont val="Arial"/>
        <family val="2"/>
      </rPr>
      <t xml:space="preserve"> [kJ /kg]</t>
    </r>
  </si>
  <si>
    <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'</t>
    </r>
    <r>
      <rPr>
        <sz val="11"/>
        <rFont val="Arial"/>
        <family val="2"/>
      </rPr>
      <t xml:space="preserve">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</si>
  <si>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d</t>
    </r>
    <r>
      <rPr>
        <i/>
        <vertAlign val="subscript"/>
        <sz val="12"/>
        <rFont val="Times New Roman"/>
        <family val="1"/>
      </rPr>
      <t xml:space="preserve">s </t>
    </r>
    <r>
      <rPr>
        <sz val="12"/>
        <rFont val="Arial"/>
        <family val="2"/>
      </rPr>
      <t>[m]</t>
    </r>
  </si>
  <si>
    <r>
      <t>d</t>
    </r>
    <r>
      <rPr>
        <i/>
        <vertAlign val="subscript"/>
        <sz val="12"/>
        <rFont val="Times New Roman"/>
        <family val="1"/>
      </rPr>
      <t xml:space="preserve">u </t>
    </r>
    <r>
      <rPr>
        <sz val="12"/>
        <rFont val="Arial"/>
        <family val="2"/>
      </rPr>
      <t>[m]</t>
    </r>
  </si>
  <si>
    <r>
      <t>a</t>
    </r>
    <r>
      <rPr>
        <i/>
        <vertAlign val="subscript"/>
        <sz val="11"/>
        <rFont val="Arial"/>
        <family val="2"/>
      </rPr>
      <t>p</t>
    </r>
    <r>
      <rPr>
        <vertAlign val="superscript"/>
        <sz val="11"/>
        <rFont val="Arial"/>
        <family val="2"/>
      </rPr>
      <t>HP</t>
    </r>
    <r>
      <rPr>
        <sz val="9.5"/>
        <rFont val="Arial"/>
        <family val="2"/>
      </rPr>
      <t>[kW/m</t>
    </r>
    <r>
      <rPr>
        <vertAlign val="superscript"/>
        <sz val="9.5"/>
        <rFont val="Arial"/>
        <family val="2"/>
      </rPr>
      <t xml:space="preserve">2 </t>
    </r>
    <r>
      <rPr>
        <sz val="9.5"/>
        <rFont val="Arial"/>
        <family val="2"/>
      </rPr>
      <t>K]</t>
    </r>
  </si>
  <si>
    <r>
      <t>t</t>
    </r>
    <r>
      <rPr>
        <i/>
        <vertAlign val="subscript"/>
        <sz val="12"/>
        <rFont val="Times New Roman"/>
        <family val="1"/>
      </rPr>
      <t>p</t>
    </r>
    <r>
      <rPr>
        <vertAlign val="superscript"/>
        <sz val="12"/>
        <rFont val="Arial"/>
        <family val="2"/>
      </rPr>
      <t>HP</t>
    </r>
    <r>
      <rPr>
        <sz val="12"/>
        <rFont val="Arial"/>
        <family val="2"/>
      </rPr>
      <t xml:space="preserve"> 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</si>
  <si>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h</t>
    </r>
    <r>
      <rPr>
        <i/>
        <vertAlign val="subscript"/>
        <sz val="12"/>
        <rFont val="Times New Roman"/>
        <family val="1"/>
      </rPr>
      <t>p</t>
    </r>
    <r>
      <rPr>
        <vertAlign val="superscript"/>
        <sz val="12"/>
        <rFont val="Arial"/>
        <family val="2"/>
      </rPr>
      <t>HP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[kJ/kg]</t>
    </r>
  </si>
  <si>
    <r>
      <t>S</t>
    </r>
    <r>
      <rPr>
        <i/>
        <sz val="12"/>
        <rFont val="Times New Roman"/>
        <family val="1"/>
      </rPr>
      <t>kA</t>
    </r>
    <r>
      <rPr>
        <sz val="11"/>
        <rFont val="Arial"/>
        <family val="2"/>
      </rPr>
      <t xml:space="preserve"> [kW/K]</t>
    </r>
  </si>
  <si>
    <r>
      <t>Q</t>
    </r>
    <r>
      <rPr>
        <sz val="10"/>
        <rFont val="Arial"/>
        <family val="2"/>
      </rPr>
      <t>[kW] Bilans</t>
    </r>
  </si>
  <si>
    <r>
      <t>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>"</t>
    </r>
    <r>
      <rPr>
        <sz val="11"/>
        <rFont val="Arial"/>
        <family val="2"/>
      </rPr>
      <t xml:space="preserve">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</si>
  <si>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"</t>
    </r>
    <r>
      <rPr>
        <sz val="11"/>
        <rFont val="Arial"/>
        <family val="2"/>
      </rPr>
      <t xml:space="preserve">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</si>
  <si>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kA</t>
    </r>
    <r>
      <rPr>
        <b/>
        <sz val="11"/>
        <rFont val="Arial"/>
        <family val="2"/>
      </rPr>
      <t xml:space="preserve"> [kW/K]</t>
    </r>
  </si>
  <si>
    <r>
      <t>Q</t>
    </r>
    <r>
      <rPr>
        <b/>
        <sz val="12"/>
        <rFont val="Arial"/>
        <family val="2"/>
      </rPr>
      <t xml:space="preserve"> [kW]</t>
    </r>
  </si>
  <si>
    <r>
      <t>t</t>
    </r>
    <r>
      <rPr>
        <i/>
        <vertAlign val="subscript"/>
        <sz val="12"/>
        <rFont val="Times New Roman"/>
        <family val="1"/>
      </rPr>
      <t>p sr</t>
    </r>
    <r>
      <rPr>
        <sz val="11"/>
        <rFont val="Arial"/>
        <family val="2"/>
      </rPr>
      <t xml:space="preserve">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</si>
  <si>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s sr</t>
    </r>
    <r>
      <rPr>
        <sz val="11"/>
        <rFont val="Arial"/>
        <family val="2"/>
      </rPr>
      <t xml:space="preserve">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</si>
  <si>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c</t>
    </r>
    <r>
      <rPr>
        <i/>
        <vertAlign val="subscript"/>
        <sz val="12"/>
        <rFont val="Times New Roman"/>
        <family val="1"/>
      </rPr>
      <t>p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[kJ/kg K]</t>
    </r>
  </si>
  <si>
    <r>
      <t>c</t>
    </r>
    <r>
      <rPr>
        <i/>
        <vertAlign val="subscript"/>
        <sz val="12"/>
        <rFont val="Times New Roman"/>
        <family val="1"/>
      </rPr>
      <t>s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[kJ/kg K]</t>
    </r>
  </si>
  <si>
    <r>
      <t>W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0"/>
      </rPr>
      <t xml:space="preserve"> [kW/K]</t>
    </r>
  </si>
  <si>
    <r>
      <t>W</t>
    </r>
    <r>
      <rPr>
        <i/>
        <vertAlign val="subscript"/>
        <sz val="12"/>
        <rFont val="Times New Roman"/>
        <family val="1"/>
      </rPr>
      <t>s</t>
    </r>
    <r>
      <rPr>
        <sz val="11"/>
        <rFont val="Arial"/>
        <family val="0"/>
      </rPr>
      <t xml:space="preserve"> [kW/K]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</si>
  <si>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v</t>
    </r>
    <r>
      <rPr>
        <i/>
        <sz val="12"/>
        <rFont val="Times New Roman"/>
        <family val="1"/>
      </rPr>
      <t>= P*</t>
    </r>
    <r>
      <rPr>
        <i/>
        <sz val="12"/>
        <rFont val="Symbol"/>
        <family val="1"/>
      </rPr>
      <t>q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</si>
  <si>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v</t>
    </r>
  </si>
  <si>
    <r>
      <t>D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e</t>
    </r>
    <r>
      <rPr>
        <sz val="11"/>
        <rFont val="YU L Swiss"/>
        <family val="2"/>
      </rPr>
      <t>=</t>
    </r>
    <r>
      <rPr>
        <i/>
        <sz val="11"/>
        <rFont val="Times New Roman"/>
        <family val="1"/>
      </rPr>
      <t>LMTD</t>
    </r>
    <r>
      <rPr>
        <i/>
        <sz val="12"/>
        <rFont val="Symbol"/>
        <family val="1"/>
      </rPr>
      <t>e</t>
    </r>
  </si>
  <si>
    <r>
      <t>Q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= W</t>
    </r>
    <r>
      <rPr>
        <i/>
        <vertAlign val="subscript"/>
        <sz val="12"/>
        <rFont val="Times New Roman"/>
        <family val="1"/>
      </rPr>
      <t>s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s</t>
    </r>
  </si>
  <si>
    <r>
      <t>Q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>= W</t>
    </r>
    <r>
      <rPr>
        <i/>
        <vertAlign val="subscript"/>
        <sz val="12"/>
        <rFont val="Times New Roman"/>
        <family val="1"/>
      </rPr>
      <t>p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p</t>
    </r>
  </si>
  <si>
    <r>
      <t xml:space="preserve">Q = kA 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e</t>
    </r>
  </si>
  <si>
    <r>
      <t>Q = m</t>
    </r>
    <r>
      <rPr>
        <i/>
        <vertAlign val="subscript"/>
        <sz val="12"/>
        <rFont val="Times New Roman"/>
        <family val="1"/>
      </rPr>
      <t>p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h</t>
    </r>
  </si>
  <si>
    <r>
      <t>Q = kA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e</t>
    </r>
  </si>
  <si>
    <r>
      <t>Q=</t>
    </r>
    <r>
      <rPr>
        <i/>
        <sz val="10"/>
        <rFont val="Times New Roman"/>
        <family val="1"/>
      </rPr>
      <t>m</t>
    </r>
    <r>
      <rPr>
        <i/>
        <vertAlign val="subscript"/>
        <sz val="11"/>
        <rFont val="Times New Roman"/>
        <family val="1"/>
      </rPr>
      <t>p</t>
    </r>
    <r>
      <rPr>
        <i/>
        <sz val="10"/>
        <rFont val="Times New Roman"/>
        <family val="1"/>
      </rPr>
      <t>r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1</t>
    </r>
    <r>
      <rPr>
        <i/>
        <sz val="9"/>
        <rFont val="Times New Roman"/>
        <family val="1"/>
      </rPr>
      <t>+</t>
    </r>
    <r>
      <rPr>
        <sz val="8.5"/>
        <rFont val="Symbol"/>
        <family val="1"/>
      </rPr>
      <t>L</t>
    </r>
    <r>
      <rPr>
        <sz val="9"/>
        <rFont val="Times New Roman"/>
        <family val="1"/>
      </rPr>
      <t>)</t>
    </r>
    <r>
      <rPr>
        <i/>
        <sz val="10"/>
        <rFont val="Times New Roman"/>
        <family val="1"/>
      </rPr>
      <t>x</t>
    </r>
  </si>
  <si>
    <r>
      <t>x</t>
    </r>
    <r>
      <rPr>
        <sz val="12"/>
        <rFont val="Arial"/>
        <family val="0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0"/>
      </rPr>
      <t>]</t>
    </r>
  </si>
  <si>
    <r>
      <t>q</t>
    </r>
    <r>
      <rPr>
        <i/>
        <sz val="12"/>
        <rFont val="Times New Roman"/>
        <family val="1"/>
      </rPr>
      <t xml:space="preserve"> = 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>'</t>
    </r>
    <r>
      <rPr>
        <i/>
        <sz val="12"/>
        <rFont val="Symbol"/>
        <family val="1"/>
      </rPr>
      <t>-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'</t>
    </r>
  </si>
  <si>
    <t>VELIČINA</t>
  </si>
  <si>
    <t>A.  ZADATE  VELIČINE</t>
  </si>
  <si>
    <t>B.  KONTROLNE  VELIČINE</t>
  </si>
  <si>
    <r>
      <t>rač.</t>
    </r>
    <r>
      <rPr>
        <i/>
        <sz val="11"/>
        <rFont val="Times New Roman"/>
        <family val="1"/>
      </rPr>
      <t xml:space="preserve"> t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''</t>
    </r>
    <r>
      <rPr>
        <sz val="11"/>
        <rFont val="Times New Roman"/>
        <family val="1"/>
      </rPr>
      <t>[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C]</t>
    </r>
  </si>
  <si>
    <r>
      <t>pred.</t>
    </r>
    <r>
      <rPr>
        <i/>
        <sz val="11"/>
        <rFont val="Times New Roman"/>
        <family val="1"/>
      </rPr>
      <t xml:space="preserve"> t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''</t>
    </r>
    <r>
      <rPr>
        <sz val="11"/>
        <rFont val="Times New Roman"/>
        <family val="1"/>
      </rPr>
      <t>[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C]</t>
    </r>
  </si>
  <si>
    <t>C.  PRORAČUNI</t>
  </si>
  <si>
    <r>
      <t xml:space="preserve">SNAGE ZONE HK, MORA SE POVEĆATI  </t>
    </r>
    <r>
      <rPr>
        <i/>
        <sz val="12"/>
        <color indexed="10"/>
        <rFont val="Arial"/>
        <family val="2"/>
      </rPr>
      <t>"kA"</t>
    </r>
  </si>
  <si>
    <t xml:space="preserve">ODZIV SISTEMA ZAVISI OD REŽIMA RADA RT I 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</si>
</sst>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0000"/>
    <numFmt numFmtId="181" formatCode="0.00;[Red]0.00"/>
    <numFmt numFmtId="182" formatCode="0.0;[Red]0.0"/>
    <numFmt numFmtId="183" formatCode="0;[Red]0"/>
    <numFmt numFmtId="184" formatCode="0.0%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dd\-mmm\-yy"/>
    <numFmt numFmtId="193" formatCode="dd/mm/yyyy"/>
    <numFmt numFmtId="194" formatCode="0.000000000"/>
    <numFmt numFmtId="195" formatCode="0.0000000000"/>
    <numFmt numFmtId="196" formatCode="0.00000000000"/>
    <numFmt numFmtId="197" formatCode="0.000000000000"/>
    <numFmt numFmtId="198" formatCode="&quot;Da&quot;;&quot;Da&quot;;&quot;Ne&quot;"/>
    <numFmt numFmtId="199" formatCode="&quot;Istina&quot;;&quot;Istina&quot;;&quot;Laž&quot;"/>
    <numFmt numFmtId="200" formatCode="&quot;Uključeno&quot;;&quot;Uključeno&quot;;&quot;Isključeno&quot;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2"/>
      <name val="Symbol"/>
      <family val="1"/>
    </font>
    <font>
      <sz val="10"/>
      <name val="YU L Swiss"/>
      <family val="2"/>
    </font>
    <font>
      <sz val="12"/>
      <name val="YU L Swiss"/>
      <family val="2"/>
    </font>
    <font>
      <sz val="12"/>
      <name val="Arial"/>
      <family val="0"/>
    </font>
    <font>
      <sz val="11"/>
      <name val="YU L Swiss"/>
      <family val="2"/>
    </font>
    <font>
      <sz val="11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2"/>
      <name val="Bahamas Bold YU"/>
      <family val="2"/>
    </font>
    <font>
      <sz val="10"/>
      <color indexed="20"/>
      <name val="YU L Umrela"/>
      <family val="2"/>
    </font>
    <font>
      <sz val="10"/>
      <color indexed="12"/>
      <name val="Bahamas YU"/>
      <family val="2"/>
    </font>
    <font>
      <sz val="10"/>
      <name val="YUDutchB"/>
      <family val="0"/>
    </font>
    <font>
      <b/>
      <sz val="11"/>
      <color indexed="12"/>
      <name val="Arial"/>
      <family val="2"/>
    </font>
    <font>
      <b/>
      <sz val="11"/>
      <color indexed="16"/>
      <name val="YU L Swiss"/>
      <family val="2"/>
    </font>
    <font>
      <sz val="11"/>
      <color indexed="16"/>
      <name val="YU L Swiss"/>
      <family val="2"/>
    </font>
    <font>
      <sz val="10"/>
      <color indexed="10"/>
      <name val="YU L Swiss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YU L Swiss"/>
      <family val="2"/>
    </font>
    <font>
      <sz val="11"/>
      <color indexed="14"/>
      <name val="Arial"/>
      <family val="2"/>
    </font>
    <font>
      <b/>
      <sz val="11"/>
      <color indexed="14"/>
      <name val="Arial"/>
      <family val="2"/>
    </font>
    <font>
      <b/>
      <sz val="11"/>
      <color indexed="16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sz val="11"/>
      <color indexed="16"/>
      <name val="Arial"/>
      <family val="2"/>
    </font>
    <font>
      <sz val="11"/>
      <color indexed="20"/>
      <name val="Arial"/>
      <family val="2"/>
    </font>
    <font>
      <sz val="10"/>
      <color indexed="12"/>
      <name val="Yu Helvetica"/>
      <family val="2"/>
    </font>
    <font>
      <sz val="10"/>
      <color indexed="20"/>
      <name val="Yu Helvetica"/>
      <family val="2"/>
    </font>
    <font>
      <sz val="8"/>
      <color indexed="21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i/>
      <sz val="12"/>
      <name val="Symbol"/>
      <family val="1"/>
    </font>
    <font>
      <sz val="11"/>
      <name val="Times New Roman"/>
      <family val="1"/>
    </font>
    <font>
      <i/>
      <vertAlign val="subscript"/>
      <sz val="11"/>
      <name val="Arial"/>
      <family val="2"/>
    </font>
    <font>
      <i/>
      <sz val="12"/>
      <color indexed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8.5"/>
      <name val="Symbol"/>
      <family val="1"/>
    </font>
    <font>
      <sz val="20"/>
      <color indexed="21"/>
      <name val="Arial"/>
      <family val="2"/>
    </font>
    <font>
      <vertAlign val="superscript"/>
      <sz val="11"/>
      <name val="Times New Roman"/>
      <family val="1"/>
    </font>
    <font>
      <sz val="11"/>
      <color indexed="10"/>
      <name val="Arial"/>
      <family val="2"/>
    </font>
    <font>
      <i/>
      <sz val="12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36" fillId="2" borderId="1" xfId="0" applyNumberFormat="1" applyFont="1" applyFill="1" applyBorder="1" applyAlignment="1" applyProtection="1">
      <alignment horizontal="center" vertical="center"/>
      <protection locked="0"/>
    </xf>
    <xf numFmtId="0" fontId="36" fillId="2" borderId="7" xfId="0" applyNumberFormat="1" applyFont="1" applyFill="1" applyBorder="1" applyAlignment="1" applyProtection="1">
      <alignment horizontal="center" vertical="center"/>
      <protection locked="0"/>
    </xf>
    <xf numFmtId="0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25" fillId="2" borderId="7" xfId="0" applyNumberFormat="1" applyFont="1" applyFill="1" applyBorder="1" applyAlignment="1" applyProtection="1">
      <alignment horizontal="center" vertical="center"/>
      <protection locked="0"/>
    </xf>
    <xf numFmtId="0" fontId="25" fillId="2" borderId="8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27" fillId="4" borderId="8" xfId="0" applyFont="1" applyFill="1" applyBorder="1" applyAlignment="1" applyProtection="1">
      <alignment horizontal="center" vertical="center"/>
      <protection hidden="1"/>
    </xf>
    <xf numFmtId="0" fontId="36" fillId="2" borderId="10" xfId="0" applyNumberFormat="1" applyFont="1" applyFill="1" applyBorder="1" applyAlignment="1" applyProtection="1">
      <alignment horizontal="center" vertical="center"/>
      <protection locked="0"/>
    </xf>
    <xf numFmtId="0" fontId="35" fillId="4" borderId="1" xfId="0" applyFont="1" applyFill="1" applyBorder="1" applyAlignment="1" applyProtection="1">
      <alignment horizontal="center" vertical="center"/>
      <protection hidden="1"/>
    </xf>
    <xf numFmtId="0" fontId="11" fillId="3" borderId="11" xfId="0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vertical="center"/>
      <protection hidden="1"/>
    </xf>
    <xf numFmtId="0" fontId="19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0" fillId="3" borderId="13" xfId="0" applyFont="1" applyFill="1" applyBorder="1" applyAlignment="1" applyProtection="1">
      <alignment horizontal="center" vertical="center"/>
      <protection hidden="1"/>
    </xf>
    <xf numFmtId="0" fontId="0" fillId="3" borderId="14" xfId="0" applyFont="1" applyFill="1" applyBorder="1" applyAlignment="1" applyProtection="1">
      <alignment horizontal="center" vertical="center"/>
      <protection hidden="1"/>
    </xf>
    <xf numFmtId="0" fontId="39" fillId="4" borderId="1" xfId="0" applyFont="1" applyFill="1" applyBorder="1" applyAlignment="1" applyProtection="1">
      <alignment horizontal="center" vertical="center"/>
      <protection hidden="1"/>
    </xf>
    <xf numFmtId="0" fontId="38" fillId="4" borderId="7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26" fillId="4" borderId="2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31" fillId="4" borderId="17" xfId="0" applyFont="1" applyFill="1" applyBorder="1" applyAlignment="1" applyProtection="1">
      <alignment horizontal="center" vertical="center"/>
      <protection hidden="1"/>
    </xf>
    <xf numFmtId="0" fontId="28" fillId="4" borderId="17" xfId="0" applyFont="1" applyFill="1" applyBorder="1" applyAlignment="1" applyProtection="1">
      <alignment horizontal="center" vertical="center"/>
      <protection hidden="1"/>
    </xf>
    <xf numFmtId="0" fontId="31" fillId="4" borderId="18" xfId="0" applyFont="1" applyFill="1" applyBorder="1" applyAlignment="1" applyProtection="1">
      <alignment horizontal="center" vertical="center"/>
      <protection hidden="1"/>
    </xf>
    <xf numFmtId="0" fontId="28" fillId="4" borderId="19" xfId="0" applyFont="1" applyFill="1" applyBorder="1" applyAlignment="1" applyProtection="1">
      <alignment horizontal="center" vertical="center"/>
      <protection hidden="1"/>
    </xf>
    <xf numFmtId="0" fontId="8" fillId="4" borderId="20" xfId="0" applyFont="1" applyFill="1" applyBorder="1" applyAlignment="1" applyProtection="1">
      <alignment horizontal="center" vertical="center"/>
      <protection hidden="1"/>
    </xf>
    <xf numFmtId="0" fontId="28" fillId="4" borderId="20" xfId="0" applyFont="1" applyFill="1" applyBorder="1" applyAlignment="1" applyProtection="1">
      <alignment horizontal="center" vertical="center"/>
      <protection hidden="1"/>
    </xf>
    <xf numFmtId="0" fontId="8" fillId="4" borderId="21" xfId="0" applyFont="1" applyFill="1" applyBorder="1" applyAlignment="1" applyProtection="1">
      <alignment horizontal="center" vertical="center"/>
      <protection hidden="1"/>
    </xf>
    <xf numFmtId="0" fontId="28" fillId="4" borderId="22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/>
      <protection hidden="1"/>
    </xf>
    <xf numFmtId="0" fontId="10" fillId="4" borderId="24" xfId="0" applyFont="1" applyFill="1" applyBorder="1" applyAlignment="1" applyProtection="1">
      <alignment horizontal="center" vertical="center"/>
      <protection hidden="1"/>
    </xf>
    <xf numFmtId="0" fontId="26" fillId="3" borderId="25" xfId="0" applyFont="1" applyFill="1" applyBorder="1" applyAlignment="1" applyProtection="1">
      <alignment horizontal="center" vertical="center"/>
      <protection hidden="1"/>
    </xf>
    <xf numFmtId="0" fontId="26" fillId="3" borderId="23" xfId="0" applyFont="1" applyFill="1" applyBorder="1" applyAlignment="1" applyProtection="1">
      <alignment horizontal="center" vertical="center"/>
      <protection hidden="1"/>
    </xf>
    <xf numFmtId="0" fontId="26" fillId="3" borderId="24" xfId="0" applyFont="1" applyFill="1" applyBorder="1" applyAlignment="1" applyProtection="1">
      <alignment horizontal="center" vertical="center"/>
      <protection hidden="1"/>
    </xf>
    <xf numFmtId="0" fontId="26" fillId="3" borderId="26" xfId="0" applyFont="1" applyFill="1" applyBorder="1" applyAlignment="1" applyProtection="1">
      <alignment horizontal="center" vertical="center"/>
      <protection hidden="1"/>
    </xf>
    <xf numFmtId="0" fontId="26" fillId="3" borderId="27" xfId="0" applyFont="1" applyFill="1" applyBorder="1" applyAlignment="1" applyProtection="1">
      <alignment horizontal="center" vertical="center"/>
      <protection hidden="1"/>
    </xf>
    <xf numFmtId="0" fontId="26" fillId="3" borderId="28" xfId="0" applyFont="1" applyFill="1" applyBorder="1" applyAlignment="1" applyProtection="1">
      <alignment horizontal="center" vertical="center"/>
      <protection hidden="1"/>
    </xf>
    <xf numFmtId="0" fontId="27" fillId="4" borderId="9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10" fillId="4" borderId="11" xfId="0" applyFont="1" applyFill="1" applyBorder="1" applyAlignment="1" applyProtection="1">
      <alignment horizontal="center" vertical="center"/>
      <protection hidden="1"/>
    </xf>
    <xf numFmtId="0" fontId="33" fillId="4" borderId="30" xfId="0" applyFont="1" applyFill="1" applyBorder="1" applyAlignment="1" applyProtection="1">
      <alignment horizontal="center" vertic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hidden="1"/>
    </xf>
    <xf numFmtId="0" fontId="34" fillId="4" borderId="11" xfId="0" applyFont="1" applyFill="1" applyBorder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8" fillId="4" borderId="31" xfId="0" applyFont="1" applyFill="1" applyBorder="1" applyAlignment="1" applyProtection="1">
      <alignment horizontal="center" vertical="center"/>
      <protection hidden="1"/>
    </xf>
    <xf numFmtId="0" fontId="8" fillId="4" borderId="32" xfId="0" applyFont="1" applyFill="1" applyBorder="1" applyAlignment="1" applyProtection="1">
      <alignment horizontal="center" vertical="center"/>
      <protection hidden="1"/>
    </xf>
    <xf numFmtId="0" fontId="10" fillId="4" borderId="2" xfId="0" applyFont="1" applyFill="1" applyBorder="1" applyAlignment="1" applyProtection="1">
      <alignment horizontal="center" vertical="center"/>
      <protection hidden="1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25" fillId="0" borderId="33" xfId="0" applyNumberFormat="1" applyFont="1" applyFill="1" applyBorder="1" applyAlignment="1" applyProtection="1">
      <alignment horizontal="center" vertical="center"/>
      <protection hidden="1"/>
    </xf>
    <xf numFmtId="0" fontId="36" fillId="0" borderId="33" xfId="0" applyNumberFormat="1" applyFont="1" applyFill="1" applyBorder="1" applyAlignment="1" applyProtection="1">
      <alignment horizontal="center" vertical="center"/>
      <protection hidden="1"/>
    </xf>
    <xf numFmtId="0" fontId="36" fillId="0" borderId="34" xfId="0" applyNumberFormat="1" applyFont="1" applyFill="1" applyBorder="1" applyAlignment="1" applyProtection="1">
      <alignment horizontal="center" vertical="center"/>
      <protection hidden="1"/>
    </xf>
    <xf numFmtId="0" fontId="8" fillId="4" borderId="30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10" fillId="4" borderId="8" xfId="0" applyFont="1" applyFill="1" applyBorder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0" fontId="29" fillId="4" borderId="30" xfId="0" applyFont="1" applyFill="1" applyBorder="1" applyAlignment="1" applyProtection="1">
      <alignment horizontal="center" vertical="center"/>
      <protection hidden="1"/>
    </xf>
    <xf numFmtId="0" fontId="29" fillId="4" borderId="14" xfId="0" applyFont="1" applyFill="1" applyBorder="1" applyAlignment="1" applyProtection="1">
      <alignment horizontal="center" vertical="center"/>
      <protection hidden="1"/>
    </xf>
    <xf numFmtId="0" fontId="38" fillId="4" borderId="11" xfId="0" applyFont="1" applyFill="1" applyBorder="1" applyAlignment="1" applyProtection="1">
      <alignment horizontal="center" vertical="center"/>
      <protection hidden="1"/>
    </xf>
    <xf numFmtId="0" fontId="8" fillId="4" borderId="31" xfId="0" applyNumberFormat="1" applyFont="1" applyFill="1" applyBorder="1" applyAlignment="1" applyProtection="1">
      <alignment horizontal="center" vertical="center"/>
      <protection hidden="1"/>
    </xf>
    <xf numFmtId="0" fontId="8" fillId="4" borderId="32" xfId="0" applyNumberFormat="1" applyFont="1" applyFill="1" applyBorder="1" applyAlignment="1" applyProtection="1">
      <alignment horizontal="center" vertical="center"/>
      <protection hidden="1"/>
    </xf>
    <xf numFmtId="0" fontId="10" fillId="4" borderId="1" xfId="0" applyNumberFormat="1" applyFont="1" applyFill="1" applyBorder="1" applyAlignment="1" applyProtection="1">
      <alignment horizontal="center" vertical="center"/>
      <protection hidden="1"/>
    </xf>
    <xf numFmtId="0" fontId="10" fillId="4" borderId="7" xfId="0" applyNumberFormat="1" applyFont="1" applyFill="1" applyBorder="1" applyAlignment="1" applyProtection="1">
      <alignment horizontal="center" vertical="center"/>
      <protection hidden="1"/>
    </xf>
    <xf numFmtId="0" fontId="29" fillId="4" borderId="35" xfId="0" applyFont="1" applyFill="1" applyBorder="1" applyAlignment="1" applyProtection="1">
      <alignment horizontal="center" vertical="center"/>
      <protection hidden="1"/>
    </xf>
    <xf numFmtId="0" fontId="38" fillId="4" borderId="0" xfId="0" applyFont="1" applyFill="1" applyBorder="1" applyAlignment="1" applyProtection="1">
      <alignment horizontal="center" vertical="center"/>
      <protection hidden="1"/>
    </xf>
    <xf numFmtId="0" fontId="38" fillId="4" borderId="14" xfId="0" applyFont="1" applyFill="1" applyBorder="1" applyAlignment="1" applyProtection="1">
      <alignment horizontal="center" vertical="center"/>
      <protection hidden="1"/>
    </xf>
    <xf numFmtId="0" fontId="38" fillId="4" borderId="2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Border="1" applyAlignment="1" applyProtection="1">
      <alignment horizontal="center" vertical="center"/>
      <protection hidden="1"/>
    </xf>
    <xf numFmtId="0" fontId="29" fillId="4" borderId="32" xfId="0" applyFont="1" applyFill="1" applyBorder="1" applyAlignment="1" applyProtection="1">
      <alignment horizontal="center" vertical="center"/>
      <protection hidden="1"/>
    </xf>
    <xf numFmtId="0" fontId="11" fillId="3" borderId="16" xfId="0" applyFont="1" applyFill="1" applyBorder="1" applyAlignment="1" applyProtection="1">
      <alignment horizontal="center" vertical="center"/>
      <protection hidden="1"/>
    </xf>
    <xf numFmtId="0" fontId="38" fillId="4" borderId="32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10" fillId="4" borderId="32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center" vertical="center"/>
      <protection hidden="1"/>
    </xf>
    <xf numFmtId="0" fontId="10" fillId="4" borderId="4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24" xfId="0" applyFont="1" applyFill="1" applyBorder="1" applyAlignment="1" applyProtection="1">
      <alignment horizontal="center" vertical="center"/>
      <protection hidden="1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0" fontId="38" fillId="4" borderId="5" xfId="0" applyFont="1" applyFill="1" applyBorder="1" applyAlignment="1" applyProtection="1">
      <alignment horizontal="center" vertical="center"/>
      <protection hidden="1"/>
    </xf>
    <xf numFmtId="0" fontId="38" fillId="4" borderId="31" xfId="0" applyFont="1" applyFill="1" applyBorder="1" applyAlignment="1" applyProtection="1">
      <alignment horizontal="center" vertical="center"/>
      <protection hidden="1"/>
    </xf>
    <xf numFmtId="0" fontId="38" fillId="4" borderId="30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10" fillId="4" borderId="31" xfId="0" applyFont="1" applyFill="1" applyBorder="1" applyAlignment="1" applyProtection="1">
      <alignment horizontal="center" vertical="center"/>
      <protection hidden="1"/>
    </xf>
    <xf numFmtId="0" fontId="29" fillId="4" borderId="31" xfId="0" applyFont="1" applyFill="1" applyBorder="1" applyAlignment="1" applyProtection="1">
      <alignment horizontal="center" vertical="center"/>
      <protection hidden="1"/>
    </xf>
    <xf numFmtId="0" fontId="11" fillId="3" borderId="6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0" fillId="4" borderId="5" xfId="0" applyFont="1" applyFill="1" applyBorder="1" applyAlignment="1" applyProtection="1">
      <alignment horizontal="center" vertical="center"/>
      <protection hidden="1"/>
    </xf>
    <xf numFmtId="0" fontId="35" fillId="4" borderId="30" xfId="0" applyFont="1" applyFill="1" applyBorder="1" applyAlignment="1" applyProtection="1">
      <alignment horizontal="center" vertical="center"/>
      <protection hidden="1"/>
    </xf>
    <xf numFmtId="0" fontId="35" fillId="4" borderId="14" xfId="0" applyFont="1" applyFill="1" applyBorder="1" applyAlignment="1" applyProtection="1">
      <alignment horizontal="center" vertical="center"/>
      <protection hidden="1"/>
    </xf>
    <xf numFmtId="0" fontId="35" fillId="4" borderId="31" xfId="0" applyFont="1" applyFill="1" applyBorder="1" applyAlignment="1" applyProtection="1">
      <alignment horizontal="center" vertical="center"/>
      <protection hidden="1"/>
    </xf>
    <xf numFmtId="0" fontId="35" fillId="4" borderId="32" xfId="0" applyFont="1" applyFill="1" applyBorder="1" applyAlignment="1" applyProtection="1">
      <alignment horizontal="center" vertical="center"/>
      <protection hidden="1"/>
    </xf>
    <xf numFmtId="0" fontId="39" fillId="4" borderId="32" xfId="0" applyFont="1" applyFill="1" applyBorder="1" applyAlignment="1" applyProtection="1">
      <alignment horizontal="center" vertical="center"/>
      <protection hidden="1"/>
    </xf>
    <xf numFmtId="0" fontId="31" fillId="4" borderId="32" xfId="0" applyFont="1" applyFill="1" applyBorder="1" applyAlignment="1" applyProtection="1">
      <alignment horizontal="center" vertical="center"/>
      <protection hidden="1"/>
    </xf>
    <xf numFmtId="0" fontId="39" fillId="4" borderId="5" xfId="0" applyFont="1" applyFill="1" applyBorder="1" applyAlignment="1" applyProtection="1">
      <alignment horizontal="center" vertical="center"/>
      <protection hidden="1"/>
    </xf>
    <xf numFmtId="0" fontId="39" fillId="4" borderId="7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39" fillId="4" borderId="8" xfId="0" applyFont="1" applyFill="1" applyBorder="1" applyAlignment="1" applyProtection="1">
      <alignment horizontal="center" vertical="center"/>
      <protection hidden="1"/>
    </xf>
    <xf numFmtId="0" fontId="40" fillId="4" borderId="8" xfId="0" applyFont="1" applyFill="1" applyBorder="1" applyAlignment="1" applyProtection="1">
      <alignment horizontal="center" vertical="center"/>
      <protection hidden="1"/>
    </xf>
    <xf numFmtId="0" fontId="39" fillId="4" borderId="9" xfId="0" applyFont="1" applyFill="1" applyBorder="1" applyAlignment="1" applyProtection="1">
      <alignment horizontal="center" vertical="center"/>
      <protection hidden="1"/>
    </xf>
    <xf numFmtId="0" fontId="40" fillId="4" borderId="34" xfId="0" applyFont="1" applyFill="1" applyBorder="1" applyAlignment="1" applyProtection="1">
      <alignment horizontal="center" vertical="center"/>
      <protection hidden="1"/>
    </xf>
    <xf numFmtId="0" fontId="39" fillId="4" borderId="0" xfId="0" applyFont="1" applyFill="1" applyBorder="1" applyAlignment="1" applyProtection="1">
      <alignment horizontal="center" vertical="center"/>
      <protection hidden="1"/>
    </xf>
    <xf numFmtId="0" fontId="40" fillId="4" borderId="9" xfId="0" applyFont="1" applyFill="1" applyBorder="1" applyAlignment="1" applyProtection="1">
      <alignment horizontal="center" vertical="center"/>
      <protection hidden="1"/>
    </xf>
    <xf numFmtId="0" fontId="39" fillId="4" borderId="2" xfId="0" applyFont="1" applyFill="1" applyBorder="1" applyAlignment="1" applyProtection="1">
      <alignment horizontal="center" vertical="center"/>
      <protection hidden="1"/>
    </xf>
    <xf numFmtId="0" fontId="40" fillId="4" borderId="32" xfId="0" applyFont="1" applyFill="1" applyBorder="1" applyAlignment="1" applyProtection="1">
      <alignment horizontal="center" vertical="center"/>
      <protection hidden="1"/>
    </xf>
    <xf numFmtId="0" fontId="43" fillId="4" borderId="11" xfId="0" applyFont="1" applyFill="1" applyBorder="1" applyAlignment="1" applyProtection="1">
      <alignment horizontal="center" vertical="center"/>
      <protection hidden="1"/>
    </xf>
    <xf numFmtId="0" fontId="43" fillId="4" borderId="14" xfId="0" applyFont="1" applyFill="1" applyBorder="1" applyAlignment="1" applyProtection="1">
      <alignment horizontal="center" vertical="center"/>
      <protection hidden="1"/>
    </xf>
    <xf numFmtId="0" fontId="43" fillId="4" borderId="1" xfId="0" applyFont="1" applyFill="1" applyBorder="1" applyAlignment="1" applyProtection="1">
      <alignment horizontal="center" vertical="center"/>
      <protection hidden="1"/>
    </xf>
    <xf numFmtId="0" fontId="43" fillId="4" borderId="7" xfId="0" applyFont="1" applyFill="1" applyBorder="1" applyAlignment="1" applyProtection="1">
      <alignment horizontal="center" vertical="center"/>
      <protection hidden="1"/>
    </xf>
    <xf numFmtId="0" fontId="44" fillId="4" borderId="20" xfId="0" applyFont="1" applyFill="1" applyBorder="1" applyAlignment="1" applyProtection="1">
      <alignment horizontal="center" vertical="center"/>
      <protection hidden="1"/>
    </xf>
    <xf numFmtId="0" fontId="44" fillId="4" borderId="21" xfId="0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10" fillId="4" borderId="37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26" fillId="3" borderId="33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right"/>
      <protection hidden="1"/>
    </xf>
    <xf numFmtId="0" fontId="49" fillId="3" borderId="25" xfId="0" applyFont="1" applyFill="1" applyBorder="1" applyAlignment="1" applyProtection="1">
      <alignment horizontal="center"/>
      <protection hidden="1"/>
    </xf>
    <xf numFmtId="0" fontId="49" fillId="3" borderId="1" xfId="0" applyFont="1" applyFill="1" applyBorder="1" applyAlignment="1" applyProtection="1">
      <alignment horizontal="center"/>
      <protection hidden="1"/>
    </xf>
    <xf numFmtId="0" fontId="54" fillId="3" borderId="8" xfId="0" applyFont="1" applyFill="1" applyBorder="1" applyAlignment="1" applyProtection="1">
      <alignment horizontal="center"/>
      <protection hidden="1"/>
    </xf>
    <xf numFmtId="0" fontId="49" fillId="3" borderId="11" xfId="0" applyFont="1" applyFill="1" applyBorder="1" applyAlignment="1" applyProtection="1">
      <alignment horizontal="center"/>
      <protection hidden="1"/>
    </xf>
    <xf numFmtId="0" fontId="49" fillId="3" borderId="2" xfId="0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 horizontal="right" vertical="center"/>
      <protection hidden="1"/>
    </xf>
    <xf numFmtId="0" fontId="49" fillId="3" borderId="1" xfId="0" applyFont="1" applyFill="1" applyBorder="1" applyAlignment="1" applyProtection="1">
      <alignment horizontal="right"/>
      <protection hidden="1"/>
    </xf>
    <xf numFmtId="0" fontId="49" fillId="3" borderId="11" xfId="0" applyFont="1" applyFill="1" applyBorder="1" applyAlignment="1" applyProtection="1">
      <alignment horizontal="right"/>
      <protection hidden="1"/>
    </xf>
    <xf numFmtId="0" fontId="49" fillId="3" borderId="11" xfId="0" applyFont="1" applyFill="1" applyBorder="1" applyAlignment="1" applyProtection="1">
      <alignment horizontal="center" vertical="center"/>
      <protection hidden="1"/>
    </xf>
    <xf numFmtId="0" fontId="49" fillId="3" borderId="30" xfId="0" applyFont="1" applyFill="1" applyBorder="1" applyAlignment="1" applyProtection="1">
      <alignment horizontal="center"/>
      <protection hidden="1"/>
    </xf>
    <xf numFmtId="0" fontId="57" fillId="4" borderId="11" xfId="0" applyFont="1" applyFill="1" applyBorder="1" applyAlignment="1" applyProtection="1">
      <alignment horizontal="center"/>
      <protection hidden="1"/>
    </xf>
    <xf numFmtId="0" fontId="54" fillId="3" borderId="11" xfId="0" applyFont="1" applyFill="1" applyBorder="1" applyAlignment="1" applyProtection="1">
      <alignment horizontal="center" vertical="center"/>
      <protection hidden="1"/>
    </xf>
    <xf numFmtId="0" fontId="11" fillId="3" borderId="11" xfId="0" applyFont="1" applyFill="1" applyBorder="1" applyAlignment="1" applyProtection="1">
      <alignment horizontal="center"/>
      <protection hidden="1"/>
    </xf>
    <xf numFmtId="0" fontId="49" fillId="3" borderId="14" xfId="0" applyFont="1" applyFill="1" applyBorder="1" applyAlignment="1" applyProtection="1">
      <alignment horizontal="center" vertical="center"/>
      <protection hidden="1"/>
    </xf>
    <xf numFmtId="0" fontId="10" fillId="4" borderId="38" xfId="0" applyFont="1" applyFill="1" applyBorder="1" applyAlignment="1" applyProtection="1">
      <alignment horizontal="center" vertical="center"/>
      <protection hidden="1"/>
    </xf>
    <xf numFmtId="0" fontId="60" fillId="3" borderId="19" xfId="0" applyFont="1" applyFill="1" applyBorder="1" applyAlignment="1" applyProtection="1">
      <alignment horizontal="right" vertical="center"/>
      <protection hidden="1"/>
    </xf>
    <xf numFmtId="0" fontId="10" fillId="3" borderId="39" xfId="0" applyFont="1" applyFill="1" applyBorder="1" applyAlignment="1" applyProtection="1">
      <alignment horizontal="right" vertical="center"/>
      <protection hidden="1"/>
    </xf>
    <xf numFmtId="0" fontId="49" fillId="3" borderId="13" xfId="0" applyFont="1" applyFill="1" applyBorder="1" applyAlignment="1" applyProtection="1">
      <alignment horizontal="center" vertical="center"/>
      <protection hidden="1"/>
    </xf>
    <xf numFmtId="0" fontId="49" fillId="3" borderId="13" xfId="0" applyFont="1" applyFill="1" applyBorder="1" applyAlignment="1" applyProtection="1">
      <alignment horizontal="right"/>
      <protection hidden="1"/>
    </xf>
    <xf numFmtId="0" fontId="10" fillId="4" borderId="30" xfId="0" applyFont="1" applyFill="1" applyBorder="1" applyAlignment="1" applyProtection="1">
      <alignment horizontal="center" vertical="center"/>
      <protection hidden="1"/>
    </xf>
    <xf numFmtId="0" fontId="10" fillId="4" borderId="31" xfId="0" applyNumberFormat="1" applyFont="1" applyFill="1" applyBorder="1" applyAlignment="1" applyProtection="1">
      <alignment horizontal="center" vertical="center"/>
      <protection hidden="1"/>
    </xf>
    <xf numFmtId="0" fontId="54" fillId="3" borderId="13" xfId="0" applyFont="1" applyFill="1" applyBorder="1" applyAlignment="1" applyProtection="1">
      <alignment horizontal="center"/>
      <protection hidden="1"/>
    </xf>
    <xf numFmtId="0" fontId="49" fillId="3" borderId="16" xfId="0" applyFont="1" applyFill="1" applyBorder="1" applyAlignment="1" applyProtection="1">
      <alignment horizontal="center" vertical="center"/>
      <protection hidden="1"/>
    </xf>
    <xf numFmtId="0" fontId="34" fillId="4" borderId="30" xfId="0" applyFont="1" applyFill="1" applyBorder="1" applyAlignment="1" applyProtection="1">
      <alignment horizontal="center" vertical="center"/>
      <protection hidden="1"/>
    </xf>
    <xf numFmtId="0" fontId="49" fillId="3" borderId="2" xfId="0" applyFont="1" applyFill="1" applyBorder="1" applyAlignment="1" applyProtection="1">
      <alignment horizontal="center" vertical="center"/>
      <protection hidden="1"/>
    </xf>
    <xf numFmtId="0" fontId="49" fillId="3" borderId="8" xfId="0" applyFont="1" applyFill="1" applyBorder="1" applyAlignment="1" applyProtection="1">
      <alignment horizontal="center" vertical="center"/>
      <protection hidden="1"/>
    </xf>
    <xf numFmtId="0" fontId="49" fillId="3" borderId="39" xfId="0" applyFont="1" applyFill="1" applyBorder="1" applyAlignment="1" applyProtection="1">
      <alignment horizontal="center" vertical="center"/>
      <protection hidden="1"/>
    </xf>
    <xf numFmtId="0" fontId="49" fillId="3" borderId="6" xfId="0" applyFont="1" applyFill="1" applyBorder="1" applyAlignment="1" applyProtection="1">
      <alignment horizontal="center" vertical="center"/>
      <protection hidden="1"/>
    </xf>
    <xf numFmtId="0" fontId="49" fillId="3" borderId="23" xfId="0" applyFont="1" applyFill="1" applyBorder="1" applyAlignment="1" applyProtection="1">
      <alignment horizont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54" fillId="3" borderId="16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54" fillId="3" borderId="2" xfId="0" applyFont="1" applyFill="1" applyBorder="1" applyAlignment="1" applyProtection="1">
      <alignment horizontal="center" vertical="center"/>
      <protection hidden="1"/>
    </xf>
    <xf numFmtId="0" fontId="49" fillId="3" borderId="13" xfId="0" applyFont="1" applyFill="1" applyBorder="1" applyAlignment="1" applyProtection="1">
      <alignment horizontal="center"/>
      <protection hidden="1"/>
    </xf>
    <xf numFmtId="0" fontId="39" fillId="0" borderId="34" xfId="0" applyFont="1" applyFill="1" applyBorder="1" applyAlignment="1" applyProtection="1">
      <alignment horizontal="center" vertical="center"/>
      <protection hidden="1"/>
    </xf>
    <xf numFmtId="0" fontId="59" fillId="3" borderId="1" xfId="0" applyFont="1" applyFill="1" applyBorder="1" applyAlignment="1" applyProtection="1">
      <alignment horizontal="center"/>
      <protection hidden="1"/>
    </xf>
    <xf numFmtId="0" fontId="28" fillId="4" borderId="29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60" fillId="3" borderId="22" xfId="0" applyFont="1" applyFill="1" applyBorder="1" applyAlignment="1" applyProtection="1">
      <alignment horizontal="right" vertical="center"/>
      <protection hidden="1"/>
    </xf>
    <xf numFmtId="0" fontId="49" fillId="3" borderId="40" xfId="0" applyFont="1" applyFill="1" applyBorder="1" applyAlignment="1" applyProtection="1">
      <alignment horizontal="right"/>
      <protection hidden="1"/>
    </xf>
    <xf numFmtId="0" fontId="10" fillId="4" borderId="41" xfId="0" applyFont="1" applyFill="1" applyBorder="1" applyAlignment="1" applyProtection="1">
      <alignment horizontal="center" vertical="center"/>
      <protection hidden="1"/>
    </xf>
    <xf numFmtId="0" fontId="10" fillId="4" borderId="42" xfId="0" applyFont="1" applyFill="1" applyBorder="1" applyAlignment="1" applyProtection="1">
      <alignment horizontal="center" vertical="center"/>
      <protection hidden="1"/>
    </xf>
    <xf numFmtId="0" fontId="49" fillId="3" borderId="6" xfId="0" applyFont="1" applyFill="1" applyBorder="1" applyAlignment="1" applyProtection="1">
      <alignment horizontal="right"/>
      <protection hidden="1"/>
    </xf>
    <xf numFmtId="0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/>
      <protection hidden="1"/>
    </xf>
    <xf numFmtId="0" fontId="49" fillId="3" borderId="6" xfId="0" applyFont="1" applyFill="1" applyBorder="1" applyAlignment="1" applyProtection="1">
      <alignment horizontal="center"/>
      <protection hidden="1"/>
    </xf>
    <xf numFmtId="0" fontId="49" fillId="3" borderId="16" xfId="0" applyFont="1" applyFill="1" applyBorder="1" applyAlignment="1" applyProtection="1">
      <alignment horizontal="center"/>
      <protection hidden="1"/>
    </xf>
    <xf numFmtId="0" fontId="59" fillId="3" borderId="24" xfId="0" applyFont="1" applyFill="1" applyBorder="1" applyAlignment="1" applyProtection="1">
      <alignment horizontal="center"/>
      <protection hidden="1"/>
    </xf>
    <xf numFmtId="0" fontId="27" fillId="4" borderId="33" xfId="0" applyFont="1" applyFill="1" applyBorder="1" applyAlignment="1" applyProtection="1">
      <alignment horizontal="center" vertical="center"/>
      <protection hidden="1"/>
    </xf>
    <xf numFmtId="0" fontId="36" fillId="2" borderId="43" xfId="0" applyNumberFormat="1" applyFont="1" applyFill="1" applyBorder="1" applyAlignment="1" applyProtection="1">
      <alignment horizontal="center" vertical="center"/>
      <protection locked="0"/>
    </xf>
    <xf numFmtId="0" fontId="36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43" xfId="0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3" borderId="41" xfId="0" applyFont="1" applyFill="1" applyBorder="1" applyAlignment="1" applyProtection="1">
      <alignment vertical="center"/>
      <protection hidden="1"/>
    </xf>
    <xf numFmtId="0" fontId="0" fillId="0" borderId="42" xfId="0" applyFont="1" applyBorder="1" applyAlignment="1" applyProtection="1">
      <alignment vertical="center"/>
      <protection hidden="1"/>
    </xf>
    <xf numFmtId="0" fontId="0" fillId="0" borderId="42" xfId="0" applyFont="1" applyFill="1" applyBorder="1" applyAlignment="1" applyProtection="1">
      <alignment vertical="center"/>
      <protection hidden="1"/>
    </xf>
    <xf numFmtId="0" fontId="55" fillId="3" borderId="44" xfId="0" applyFont="1" applyFill="1" applyBorder="1" applyAlignment="1" applyProtection="1">
      <alignment horizontal="center"/>
      <protection hidden="1"/>
    </xf>
    <xf numFmtId="0" fontId="55" fillId="3" borderId="43" xfId="0" applyFont="1" applyFill="1" applyBorder="1" applyAlignment="1" applyProtection="1">
      <alignment horizontal="center"/>
      <protection hidden="1"/>
    </xf>
    <xf numFmtId="0" fontId="8" fillId="3" borderId="26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3" borderId="45" xfId="0" applyFont="1" applyFill="1" applyBorder="1" applyAlignment="1" applyProtection="1">
      <alignment horizontal="center" vertical="center"/>
      <protection hidden="1"/>
    </xf>
    <xf numFmtId="0" fontId="8" fillId="3" borderId="46" xfId="0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123825</xdr:rowOff>
    </xdr:from>
    <xdr:to>
      <xdr:col>8</xdr:col>
      <xdr:colOff>57150</xdr:colOff>
      <xdr:row>3</xdr:row>
      <xdr:rowOff>123825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019425" y="285750"/>
          <a:ext cx="3857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ZONE  KONDENZACIJE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76200</xdr:colOff>
      <xdr:row>4</xdr:row>
      <xdr:rowOff>104775</xdr:rowOff>
    </xdr:to>
    <xdr:pic>
      <xdr:nvPicPr>
        <xdr:cNvPr id="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190500</xdr:colOff>
      <xdr:row>0</xdr:row>
      <xdr:rowOff>66675</xdr:rowOff>
    </xdr:from>
    <xdr:to>
      <xdr:col>3</xdr:col>
      <xdr:colOff>95250</xdr:colOff>
      <xdr:row>4</xdr:row>
      <xdr:rowOff>104775</xdr:rowOff>
    </xdr:to>
    <xdr:sp>
      <xdr:nvSpPr>
        <xdr:cNvPr id="3" name="TextBox 461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showGridLines="0" tabSelected="1" workbookViewId="0" topLeftCell="A1">
      <selection activeCell="J5" sqref="J5"/>
    </sheetView>
  </sheetViews>
  <sheetFormatPr defaultColWidth="9.140625" defaultRowHeight="12.75"/>
  <cols>
    <col min="1" max="2" width="12.7109375" style="1" customWidth="1"/>
    <col min="3" max="3" width="13.28125" style="1" customWidth="1"/>
    <col min="4" max="8" width="12.7109375" style="1" customWidth="1"/>
    <col min="9" max="9" width="13.28125" style="1" customWidth="1"/>
    <col min="10" max="10" width="13.421875" style="1" bestFit="1" customWidth="1"/>
    <col min="11" max="16384" width="9.140625" style="1" customWidth="1"/>
  </cols>
  <sheetData>
    <row r="1" ht="12.75" customHeight="1">
      <c r="I1" s="165" t="e">
        <f>#REF!</f>
        <v>#REF!</v>
      </c>
    </row>
    <row r="2" ht="12.75" customHeight="1"/>
    <row r="3" ht="12.75" customHeight="1"/>
    <row r="4" ht="12.75" customHeight="1"/>
    <row r="5" spans="5:6" ht="12.75" customHeight="1">
      <c r="E5" s="27"/>
      <c r="F5" s="20"/>
    </row>
    <row r="6" spans="4:9" ht="15.75" customHeight="1">
      <c r="D6" s="28"/>
      <c r="E6" s="22"/>
      <c r="F6" s="21"/>
      <c r="G6" s="21"/>
      <c r="H6" s="23"/>
      <c r="I6" s="2"/>
    </row>
    <row r="7" spans="1:9" ht="15.75" customHeight="1">
      <c r="A7" s="44"/>
      <c r="B7" s="236" t="s">
        <v>70</v>
      </c>
      <c r="C7" s="228"/>
      <c r="D7" s="41"/>
      <c r="E7" s="46"/>
      <c r="F7" s="46"/>
      <c r="G7" s="46"/>
      <c r="H7" s="41"/>
      <c r="I7" s="41"/>
    </row>
    <row r="8" spans="1:9" ht="15.75" customHeight="1">
      <c r="A8" s="169" t="s">
        <v>33</v>
      </c>
      <c r="B8" s="169" t="s">
        <v>34</v>
      </c>
      <c r="C8" s="169" t="s">
        <v>35</v>
      </c>
      <c r="D8" s="169" t="s">
        <v>67</v>
      </c>
      <c r="E8" s="175" t="s">
        <v>36</v>
      </c>
      <c r="F8" s="169" t="s">
        <v>37</v>
      </c>
      <c r="G8" s="169" t="s">
        <v>38</v>
      </c>
      <c r="H8" s="169" t="s">
        <v>39</v>
      </c>
      <c r="I8" s="41"/>
    </row>
    <row r="9" spans="1:13" ht="15.75" customHeight="1">
      <c r="A9" s="29">
        <v>4.5</v>
      </c>
      <c r="B9" s="26">
        <v>500</v>
      </c>
      <c r="C9" s="10">
        <f>(3485+3484)/2</f>
        <v>3484.5</v>
      </c>
      <c r="D9" s="10">
        <v>1</v>
      </c>
      <c r="E9" s="30">
        <v>147.92</v>
      </c>
      <c r="F9" s="10">
        <v>2741.8</v>
      </c>
      <c r="G9" s="24">
        <v>622.96</v>
      </c>
      <c r="H9" s="49">
        <f>F9-G9</f>
        <v>2118.84</v>
      </c>
      <c r="I9" s="41"/>
      <c r="M9" s="11"/>
    </row>
    <row r="10" spans="1:11" ht="15.75" customHeight="1">
      <c r="A10" s="174" t="s">
        <v>26</v>
      </c>
      <c r="B10" s="174" t="s">
        <v>27</v>
      </c>
      <c r="C10" s="169" t="s">
        <v>40</v>
      </c>
      <c r="D10" s="174" t="s">
        <v>41</v>
      </c>
      <c r="E10" s="174" t="s">
        <v>42</v>
      </c>
      <c r="F10" s="41"/>
      <c r="G10" s="50" t="s">
        <v>43</v>
      </c>
      <c r="H10" s="174" t="s">
        <v>24</v>
      </c>
      <c r="I10" s="41"/>
      <c r="K10" s="38"/>
    </row>
    <row r="11" spans="1:13" ht="15.75" customHeight="1">
      <c r="A11" s="26">
        <v>1</v>
      </c>
      <c r="B11" s="26">
        <v>11</v>
      </c>
      <c r="C11" s="26">
        <v>20</v>
      </c>
      <c r="D11" s="10">
        <v>0.018</v>
      </c>
      <c r="E11" s="10">
        <v>0.016</v>
      </c>
      <c r="F11" s="41"/>
      <c r="G11" s="10">
        <v>0.5</v>
      </c>
      <c r="H11" s="10">
        <v>0.25</v>
      </c>
      <c r="I11" s="41"/>
      <c r="M11" s="16"/>
    </row>
    <row r="12" spans="1:13" ht="15.75" customHeight="1" thickBot="1">
      <c r="A12" s="45"/>
      <c r="B12" s="51" t="s">
        <v>18</v>
      </c>
      <c r="C12" s="42"/>
      <c r="D12" s="45"/>
      <c r="E12" s="45"/>
      <c r="F12" s="45"/>
      <c r="G12" s="51" t="s">
        <v>19</v>
      </c>
      <c r="H12" s="42"/>
      <c r="I12" s="45"/>
      <c r="M12" s="22"/>
    </row>
    <row r="13" spans="1:10" ht="15.75" customHeight="1">
      <c r="A13" s="219"/>
      <c r="B13" s="220" t="s">
        <v>71</v>
      </c>
      <c r="C13" s="220"/>
      <c r="D13" s="220"/>
      <c r="E13" s="221"/>
      <c r="F13" s="52"/>
      <c r="G13" s="220" t="s">
        <v>71</v>
      </c>
      <c r="H13" s="220"/>
      <c r="I13" s="222"/>
      <c r="J13" s="13"/>
    </row>
    <row r="14" spans="1:11" ht="15.75" customHeight="1">
      <c r="A14" s="223" t="s">
        <v>72</v>
      </c>
      <c r="B14" s="224" t="s">
        <v>73</v>
      </c>
      <c r="C14" s="53" t="s">
        <v>13</v>
      </c>
      <c r="D14" s="53" t="s">
        <v>23</v>
      </c>
      <c r="E14" s="55" t="s">
        <v>21</v>
      </c>
      <c r="F14" s="54" t="s">
        <v>6</v>
      </c>
      <c r="G14" s="176" t="str">
        <f>IF(F15="PRIMAR","t'p","t's")</f>
        <v>t''p</v>
      </c>
      <c r="H14" s="53" t="s">
        <v>13</v>
      </c>
      <c r="I14" s="179" t="s">
        <v>47</v>
      </c>
      <c r="J14" s="13"/>
      <c r="K14" s="11"/>
    </row>
    <row r="15" spans="1:9" ht="15.75" customHeight="1">
      <c r="A15" s="202">
        <f>B9-E35-D35-IF(B32&gt;B31,B36,B36*B33)</f>
        <v>38.35179783420183</v>
      </c>
      <c r="B15" s="29">
        <f>A15</f>
        <v>38.35179783420183</v>
      </c>
      <c r="C15" s="10" t="s">
        <v>12</v>
      </c>
      <c r="D15" s="56">
        <f>IF(B15&gt;E9,"tp'' &gt;tk","")</f>
      </c>
      <c r="E15" s="57">
        <f>A11*(C9-G9)+B31*(E9-B50)</f>
        <v>3324.7176610154784</v>
      </c>
      <c r="F15" s="31" t="s">
        <v>8</v>
      </c>
      <c r="G15" s="26">
        <v>38.352</v>
      </c>
      <c r="H15" s="10" t="s">
        <v>12</v>
      </c>
      <c r="I15" s="57">
        <f>A11*(C9-G9)+I31*(E9-I50)</f>
        <v>3324.7168063999998</v>
      </c>
    </row>
    <row r="16" spans="1:13" ht="18" customHeight="1">
      <c r="A16" s="199" t="s">
        <v>44</v>
      </c>
      <c r="B16" s="169" t="s">
        <v>45</v>
      </c>
      <c r="C16" s="178" t="s">
        <v>46</v>
      </c>
      <c r="D16" s="177" t="s">
        <v>14</v>
      </c>
      <c r="E16" s="203"/>
      <c r="F16" s="199" t="s">
        <v>44</v>
      </c>
      <c r="G16" s="169" t="s">
        <v>45</v>
      </c>
      <c r="H16" s="177" t="s">
        <v>14</v>
      </c>
      <c r="I16" s="58"/>
      <c r="K16" s="11"/>
      <c r="L16" s="11"/>
      <c r="M16" s="11"/>
    </row>
    <row r="17" spans="1:13" ht="15.75" customHeight="1" thickBot="1">
      <c r="A17" s="60">
        <f>E50</f>
        <v>235.4482065277818</v>
      </c>
      <c r="B17" s="25">
        <v>2932</v>
      </c>
      <c r="C17" s="12">
        <v>37</v>
      </c>
      <c r="D17" s="59">
        <f>(B17-F9)/H9</f>
        <v>0.089766098431217</v>
      </c>
      <c r="E17" s="204"/>
      <c r="F17" s="60">
        <f>G50</f>
        <v>235.433005961318</v>
      </c>
      <c r="G17" s="25">
        <v>2932</v>
      </c>
      <c r="H17" s="59">
        <f>(G17-F9)/H9</f>
        <v>0.089766098431217</v>
      </c>
      <c r="I17" s="58"/>
      <c r="K17" s="11"/>
      <c r="L17" s="11"/>
      <c r="M17" s="11"/>
    </row>
    <row r="18" spans="1:13" ht="15.75" customHeight="1">
      <c r="A18" s="181" t="s">
        <v>50</v>
      </c>
      <c r="B18" s="61">
        <f>B41</f>
        <v>9.424358000500792</v>
      </c>
      <c r="C18" s="62">
        <f>E18+D18+B18</f>
        <v>37</v>
      </c>
      <c r="D18" s="61">
        <f>D41</f>
        <v>25.449173024369514</v>
      </c>
      <c r="E18" s="63">
        <f>E41</f>
        <v>2.1264689751296926</v>
      </c>
      <c r="F18" s="64">
        <f>G18+H18+I18</f>
        <v>37.00213437295979</v>
      </c>
      <c r="G18" s="61">
        <f>G41</f>
        <v>2.1266644453509054</v>
      </c>
      <c r="H18" s="61">
        <f>H41</f>
        <v>25.451179545603846</v>
      </c>
      <c r="I18" s="63">
        <f>I41</f>
        <v>9.424290382005037</v>
      </c>
      <c r="L18" s="11"/>
      <c r="M18" s="11"/>
    </row>
    <row r="19" spans="1:13" ht="15.75" customHeight="1" thickBot="1">
      <c r="A19" s="205" t="s">
        <v>51</v>
      </c>
      <c r="B19" s="65">
        <f>ROUND(B45,2)</f>
        <v>463.18</v>
      </c>
      <c r="C19" s="66">
        <f>B19+D19+E19</f>
        <v>3324.72</v>
      </c>
      <c r="D19" s="65">
        <f>ROUND(D45,2)</f>
        <v>2309.04</v>
      </c>
      <c r="E19" s="67">
        <f>ROUND(E45,2)</f>
        <v>552.5</v>
      </c>
      <c r="F19" s="68">
        <f>G19+H19+I19</f>
        <v>3324.72</v>
      </c>
      <c r="G19" s="65">
        <f>ROUND(G45,2)</f>
        <v>552.5</v>
      </c>
      <c r="H19" s="65">
        <f>ROUND(H45,2)</f>
        <v>2309.04</v>
      </c>
      <c r="I19" s="67">
        <f>ROUND(I45,2)</f>
        <v>463.18</v>
      </c>
      <c r="M19" s="11"/>
    </row>
    <row r="20" spans="1:13" ht="15.75" customHeight="1">
      <c r="A20" s="206" t="s">
        <v>48</v>
      </c>
      <c r="B20" s="180">
        <f>ROUND(B50,2)</f>
        <v>38.35</v>
      </c>
      <c r="C20" s="161"/>
      <c r="D20" s="207">
        <f>ROUND(D50,2)</f>
        <v>147.92</v>
      </c>
      <c r="E20" s="208">
        <f>ROUND(E50,2)</f>
        <v>235.45</v>
      </c>
      <c r="F20" s="206" t="s">
        <v>48</v>
      </c>
      <c r="G20" s="162">
        <f aca="true" t="shared" si="0" ref="G20:I21">ROUND(G50,2)</f>
        <v>235.43</v>
      </c>
      <c r="H20" s="207">
        <f t="shared" si="0"/>
        <v>147.92</v>
      </c>
      <c r="I20" s="208">
        <f t="shared" si="0"/>
        <v>38.35</v>
      </c>
      <c r="K20" s="11"/>
      <c r="L20" s="11"/>
      <c r="M20" s="11"/>
    </row>
    <row r="21" spans="1:10" ht="15.75" customHeight="1">
      <c r="A21" s="209" t="s">
        <v>49</v>
      </c>
      <c r="B21" s="136">
        <f>ROUND(B51,2)</f>
        <v>29.99</v>
      </c>
      <c r="C21" s="163"/>
      <c r="D21" s="71">
        <f>ROUND(D51,2)</f>
        <v>79.84</v>
      </c>
      <c r="E21" s="72">
        <f>ROUND(E51,2)</f>
        <v>91.74</v>
      </c>
      <c r="F21" s="209" t="s">
        <v>49</v>
      </c>
      <c r="G21" s="122">
        <f t="shared" si="0"/>
        <v>91.75</v>
      </c>
      <c r="H21" s="69">
        <f t="shared" si="0"/>
        <v>79.85</v>
      </c>
      <c r="I21" s="70">
        <f t="shared" si="0"/>
        <v>29.99</v>
      </c>
      <c r="J21" s="17"/>
    </row>
    <row r="22" spans="1:10" ht="15.75" customHeight="1">
      <c r="A22" s="73" t="s">
        <v>16</v>
      </c>
      <c r="B22" s="74" t="s">
        <v>11</v>
      </c>
      <c r="C22" s="164" t="s">
        <v>17</v>
      </c>
      <c r="D22" s="74" t="s">
        <v>9</v>
      </c>
      <c r="E22" s="75" t="s">
        <v>10</v>
      </c>
      <c r="F22" s="76" t="s">
        <v>17</v>
      </c>
      <c r="G22" s="77" t="s">
        <v>10</v>
      </c>
      <c r="H22" s="77" t="s">
        <v>9</v>
      </c>
      <c r="I22" s="78" t="s">
        <v>11</v>
      </c>
      <c r="J22" s="18"/>
    </row>
    <row r="23" spans="1:9" ht="15.75" customHeight="1">
      <c r="A23" s="225" t="s">
        <v>69</v>
      </c>
      <c r="B23" s="36" t="s">
        <v>15</v>
      </c>
      <c r="C23" s="226" t="s">
        <v>69</v>
      </c>
      <c r="D23" s="36" t="s">
        <v>15</v>
      </c>
      <c r="E23" s="37" t="s">
        <v>15</v>
      </c>
      <c r="F23" s="225" t="s">
        <v>69</v>
      </c>
      <c r="G23" s="36" t="s">
        <v>15</v>
      </c>
      <c r="H23" s="36" t="s">
        <v>15</v>
      </c>
      <c r="I23" s="37" t="s">
        <v>15</v>
      </c>
    </row>
    <row r="24" spans="1:9" ht="15.75" customHeight="1">
      <c r="A24" s="182" t="s">
        <v>25</v>
      </c>
      <c r="B24" s="215">
        <f>IF(OR(B23="istosm",B23="suprot",B23="unakrsno"),"",IF(B23="RT21",1,IF(B23="RT42",2,IF(B23="RT63",3,IF(B23="RT84",4,IF(B23="RT62",2,"SOS"))))))</f>
        <v>1</v>
      </c>
      <c r="C24" s="171" t="s">
        <v>25</v>
      </c>
      <c r="D24" s="47">
        <f>IF(OR(D23="istosm",D23="suprot",D23="unakrsno"),"",IF(D23="RT21",1,IF(D23="RT42",2,IF(D23="RT63",3,IF(D23="RT84",4,IF(D23="RT62",2,"SOS"))))))</f>
        <v>1</v>
      </c>
      <c r="E24" s="79">
        <f>IF(OR(E23="istosm",E23="suprot",E23="unakrsno"),"",IF(E23="RT21",1,IF(E23="RT42",2,IF(E23="RT63",3,IF(E23="RT84",4,IF(E23="RT62",2,"SOS"))))))</f>
        <v>1</v>
      </c>
      <c r="F24" s="182" t="s">
        <v>25</v>
      </c>
      <c r="G24" s="47">
        <f>IF(OR(G23="istosm",G23="suprot",G23="unakrsno"),"",IF(G23="RT21",1,IF(G23="RT42",2,IF(G23="RT63",3,IF(G23="RT84",4,IF(G23="RT62",2,"SOS"))))))</f>
        <v>1</v>
      </c>
      <c r="H24" s="47">
        <f>IF(OR(H23="istosm",H23="suprot",H23="unakrsno"),"",IF(H23="RT21",1,IF(H23="RT42",2,IF(H23="RT63",3,IF(H23="RT84",4,IF(H23="RT62",2,"SOS"))))))</f>
        <v>1</v>
      </c>
      <c r="I24" s="79">
        <f>IF(OR(I23="istosm",I23="suprot",I23="unakrsno"),"",IF(I23="RT21",1,IF(I23="RT42",2,IF(I23="RT63",3,IF(I23="RT84",4,IF(I23="RT62",2,"SOS"))))))</f>
        <v>1</v>
      </c>
    </row>
    <row r="25" spans="1:9" ht="15.75" customHeight="1">
      <c r="A25" s="227"/>
      <c r="B25" s="228" t="s">
        <v>74</v>
      </c>
      <c r="C25" s="228"/>
      <c r="D25" s="229"/>
      <c r="E25" s="230"/>
      <c r="F25" s="227"/>
      <c r="G25" s="228" t="s">
        <v>74</v>
      </c>
      <c r="H25" s="228"/>
      <c r="I25" s="230"/>
    </row>
    <row r="26" spans="1:9" ht="15.75" customHeight="1">
      <c r="A26" s="184" t="s">
        <v>52</v>
      </c>
      <c r="B26" s="82">
        <f>B52</f>
        <v>93.13589891710092</v>
      </c>
      <c r="C26" s="173" t="s">
        <v>52</v>
      </c>
      <c r="D26" s="83">
        <f>D52</f>
        <v>191.6841032638909</v>
      </c>
      <c r="E26" s="84">
        <f>E52</f>
        <v>367.7241032638909</v>
      </c>
      <c r="F26" s="184" t="s">
        <v>52</v>
      </c>
      <c r="G26" s="82">
        <f aca="true" t="shared" si="1" ref="G26:I27">G52</f>
        <v>367.716502980659</v>
      </c>
      <c r="H26" s="85">
        <f t="shared" si="1"/>
        <v>191.676502980659</v>
      </c>
      <c r="I26" s="86">
        <f t="shared" si="1"/>
        <v>93.136</v>
      </c>
    </row>
    <row r="27" spans="1:9" ht="15.75" customHeight="1">
      <c r="A27" s="184" t="s">
        <v>53</v>
      </c>
      <c r="B27" s="87">
        <f>B53</f>
        <v>24.996328740366916</v>
      </c>
      <c r="C27" s="173" t="s">
        <v>53</v>
      </c>
      <c r="D27" s="88">
        <f>D53</f>
        <v>54.917581757340656</v>
      </c>
      <c r="E27" s="89">
        <f>E53</f>
        <v>85.79092649952847</v>
      </c>
      <c r="F27" s="184" t="s">
        <v>53</v>
      </c>
      <c r="G27" s="90">
        <f t="shared" si="1"/>
        <v>85.80274916233364</v>
      </c>
      <c r="H27" s="90">
        <f t="shared" si="1"/>
        <v>54.9234838699483</v>
      </c>
      <c r="I27" s="91">
        <f t="shared" si="1"/>
        <v>24.996319521571976</v>
      </c>
    </row>
    <row r="28" spans="1:9" ht="18" customHeight="1">
      <c r="A28" s="184" t="s">
        <v>54</v>
      </c>
      <c r="B28" s="216">
        <v>4.2273</v>
      </c>
      <c r="C28" s="173" t="s">
        <v>54</v>
      </c>
      <c r="D28" s="92"/>
      <c r="E28" s="210"/>
      <c r="F28" s="184" t="s">
        <v>54</v>
      </c>
      <c r="G28" s="93"/>
      <c r="H28" s="94"/>
      <c r="I28" s="48">
        <v>4.2273</v>
      </c>
    </row>
    <row r="29" spans="1:9" ht="18" customHeight="1">
      <c r="A29" s="184" t="s">
        <v>55</v>
      </c>
      <c r="B29" s="217">
        <v>4.2138</v>
      </c>
      <c r="C29" s="173" t="s">
        <v>55</v>
      </c>
      <c r="D29" s="34">
        <v>4.2109</v>
      </c>
      <c r="E29" s="35">
        <v>4.2219</v>
      </c>
      <c r="F29" s="184" t="s">
        <v>55</v>
      </c>
      <c r="G29" s="32">
        <v>4.2219</v>
      </c>
      <c r="H29" s="32">
        <v>4.2099</v>
      </c>
      <c r="I29" s="33">
        <v>4.2138</v>
      </c>
    </row>
    <row r="30" spans="1:9" ht="15.75" customHeight="1">
      <c r="A30" s="187" t="s">
        <v>68</v>
      </c>
      <c r="B30" s="218">
        <f>D50-C11</f>
        <v>127.91999999999999</v>
      </c>
      <c r="C30" s="168" t="s">
        <v>68</v>
      </c>
      <c r="D30" s="95">
        <f>D50-B51</f>
        <v>117.92734251926615</v>
      </c>
      <c r="E30" s="84">
        <f>B9-D51</f>
        <v>420.1574939660525</v>
      </c>
      <c r="F30" s="187" t="s">
        <v>68</v>
      </c>
      <c r="G30" s="96">
        <f>B9-H51</f>
        <v>420.14567130324735</v>
      </c>
      <c r="H30" s="97">
        <f>H50-I51</f>
        <v>117.92736095685603</v>
      </c>
      <c r="I30" s="98">
        <f>H50-C11</f>
        <v>127.91999999999999</v>
      </c>
    </row>
    <row r="31" spans="1:9" ht="15.75" customHeight="1">
      <c r="A31" s="184" t="s">
        <v>56</v>
      </c>
      <c r="B31" s="185">
        <f>A11*B28</f>
        <v>4.2273</v>
      </c>
      <c r="C31" s="173" t="s">
        <v>56</v>
      </c>
      <c r="D31" s="99">
        <f>D48/(E50-D50)</f>
        <v>26.38052453716279</v>
      </c>
      <c r="E31" s="100">
        <f>A11*(C9-B17)/E35</f>
        <v>2.0884379302384906</v>
      </c>
      <c r="F31" s="184" t="s">
        <v>56</v>
      </c>
      <c r="G31" s="101">
        <f>G48/G35</f>
        <v>2.088317940064813</v>
      </c>
      <c r="H31" s="101">
        <f>H48/(G50-H50)</f>
        <v>26.385106700832882</v>
      </c>
      <c r="I31" s="86">
        <f>A11*I28</f>
        <v>4.2273</v>
      </c>
    </row>
    <row r="32" spans="1:9" ht="15.75" customHeight="1">
      <c r="A32" s="209" t="s">
        <v>57</v>
      </c>
      <c r="B32" s="186">
        <f>B11*B29</f>
        <v>46.3518</v>
      </c>
      <c r="C32" s="172" t="s">
        <v>57</v>
      </c>
      <c r="D32" s="102">
        <f>B11*D29</f>
        <v>46.3199</v>
      </c>
      <c r="E32" s="103">
        <f>B11*E29</f>
        <v>46.4409</v>
      </c>
      <c r="F32" s="209" t="s">
        <v>57</v>
      </c>
      <c r="G32" s="104">
        <f>B11*G29</f>
        <v>46.4409</v>
      </c>
      <c r="H32" s="104">
        <f>B11*H29</f>
        <v>46.3089</v>
      </c>
      <c r="I32" s="105">
        <f>B11*I29</f>
        <v>46.3518</v>
      </c>
    </row>
    <row r="33" spans="1:9" ht="15.75" customHeight="1">
      <c r="A33" s="192" t="s">
        <v>3</v>
      </c>
      <c r="B33" s="195">
        <f>IF(B32&lt;B31,B32/B31,B31/B32)</f>
        <v>0.09120034173430158</v>
      </c>
      <c r="C33" s="191" t="s">
        <v>3</v>
      </c>
      <c r="D33" s="95">
        <f>IF(D32&lt;D31,D32/D31,D31/D32)</f>
        <v>0.569528961357058</v>
      </c>
      <c r="E33" s="84">
        <f>IF(E32&lt;E31,E32/E31,E31/E32)</f>
        <v>0.04496979882471035</v>
      </c>
      <c r="F33" s="192" t="s">
        <v>3</v>
      </c>
      <c r="G33" s="97">
        <f>IF(G32&lt;G31,G32/G31,G31/G32)</f>
        <v>0.04496721510704601</v>
      </c>
      <c r="H33" s="82">
        <f>IF(H32&lt;H31,H32/H31,H31/H32)</f>
        <v>0.5697631924064895</v>
      </c>
      <c r="I33" s="86">
        <f>IF(I32&lt;I31,I32/I31,I31/I32)</f>
        <v>0.09120034173430158</v>
      </c>
    </row>
    <row r="34" spans="1:9" ht="15.75" customHeight="1">
      <c r="A34" s="211" t="s">
        <v>30</v>
      </c>
      <c r="B34" s="189">
        <f>B31*B35/B32</f>
        <v>9.992657480733834</v>
      </c>
      <c r="C34" s="39" t="s">
        <v>30</v>
      </c>
      <c r="D34" s="106">
        <f>D48/D32</f>
        <v>49.84984855321363</v>
      </c>
      <c r="E34" s="100">
        <f>E48/E32</f>
        <v>11.896840931161972</v>
      </c>
      <c r="F34" s="211" t="s">
        <v>30</v>
      </c>
      <c r="G34" s="107">
        <f>G48/G32</f>
        <v>11.896840931161972</v>
      </c>
      <c r="H34" s="101">
        <f>H48/H32</f>
        <v>49.8616896536087</v>
      </c>
      <c r="I34" s="108">
        <f>IF(F15="PRIMAR",I35*I31/I32,I51-C11)</f>
        <v>9.992639043143953</v>
      </c>
    </row>
    <row r="35" spans="1:9" ht="15.75" customHeight="1">
      <c r="A35" s="211" t="s">
        <v>31</v>
      </c>
      <c r="B35" s="129">
        <f>D50-B50</f>
        <v>109.56820216579816</v>
      </c>
      <c r="C35" s="39" t="s">
        <v>31</v>
      </c>
      <c r="D35" s="110">
        <f>D48/D31</f>
        <v>87.5282065277818</v>
      </c>
      <c r="E35" s="111">
        <f>B9-E50</f>
        <v>264.5517934722182</v>
      </c>
      <c r="F35" s="211" t="s">
        <v>31</v>
      </c>
      <c r="G35" s="107">
        <f>B9-G50</f>
        <v>264.56699403868197</v>
      </c>
      <c r="H35" s="109">
        <f>H48/H31</f>
        <v>87.51300596131802</v>
      </c>
      <c r="I35" s="113">
        <f>IF(F15="PRIMAR",H50-I50,I32*I34/I31)</f>
        <v>109.56799999999998</v>
      </c>
    </row>
    <row r="36" spans="1:9" ht="15.75" customHeight="1">
      <c r="A36" s="211" t="s">
        <v>58</v>
      </c>
      <c r="B36" s="132">
        <f>B37*B30</f>
        <v>109.56820216579816</v>
      </c>
      <c r="C36" s="39" t="s">
        <v>59</v>
      </c>
      <c r="D36" s="114">
        <f>IF(D34&gt;D35,D34,D35)</f>
        <v>87.5282065277818</v>
      </c>
      <c r="E36" s="89">
        <f>IF(E34&gt;E35,E34,E35)</f>
        <v>264.5517934722182</v>
      </c>
      <c r="F36" s="211" t="s">
        <v>59</v>
      </c>
      <c r="G36" s="90">
        <f>IF(G34&gt;G35,G34,G35)</f>
        <v>264.56699403868197</v>
      </c>
      <c r="H36" s="90">
        <f>IF(H34&gt;H35,H34,H35)</f>
        <v>87.51300596131802</v>
      </c>
      <c r="I36" s="115">
        <f>IF(I34&gt;I35,I34,I35)</f>
        <v>109.56799999999998</v>
      </c>
    </row>
    <row r="37" spans="1:9" ht="15.75" customHeight="1">
      <c r="A37" s="188" t="s">
        <v>2</v>
      </c>
      <c r="B37" s="132">
        <f>IF(B23="istosm",(B39-1)/(B39*(1+B33)),IF(B23="suprot",(B39-1)/(B39-B33),IF(B23="unakrsno",(B39-1)/(B39+B33*(B39-1)/2),(((1-B33*B38)/(1-B38))^B24-1)/(((1-B33*B38)/(1-B38))^B24-B33))))</f>
        <v>0.8565369149921683</v>
      </c>
      <c r="C37" s="190" t="s">
        <v>2</v>
      </c>
      <c r="D37" s="116"/>
      <c r="E37" s="117">
        <f>E36/E30</f>
        <v>0.6296491131813376</v>
      </c>
      <c r="F37" s="188" t="s">
        <v>2</v>
      </c>
      <c r="G37" s="118">
        <f>G36/G30</f>
        <v>0.6297030104297473</v>
      </c>
      <c r="H37" s="119"/>
      <c r="I37" s="70">
        <f>I36/I30</f>
        <v>0.856535334584115</v>
      </c>
    </row>
    <row r="38" spans="1:9" ht="15.75" customHeight="1">
      <c r="A38" s="212" t="s">
        <v>28</v>
      </c>
      <c r="B38" s="136">
        <f>IF(OR(B23="istosm",B23="suprot",B23="unakrsno"),"",2*(B39-1)/((B39-1)*(1+B33)+(B39+1)*(1+B33^2)^IF(B23="RT62",1/3,0.5)))</f>
        <v>0.8565369149921683</v>
      </c>
      <c r="C38" s="167" t="s">
        <v>28</v>
      </c>
      <c r="D38" s="120"/>
      <c r="E38" s="121">
        <f>IF(E24="","",IF(E37&gt;1,"SOS",(((1-E33*E37)/(1-E37))^(1/E24)-1)/(((1-E33*E37)/(1-E37))^(1/E24)-E33)))</f>
        <v>0.6296491131813376</v>
      </c>
      <c r="F38" s="212" t="s">
        <v>28</v>
      </c>
      <c r="G38" s="122">
        <f>IF(G24="","",IF(G37&gt;1,"SOS",(((1-G33*G37)/(1-G37))^(1/G24)-1)/(((1-G33*G37)/(1-G37))^(1/G24)-G33)))</f>
        <v>0.6297030104297474</v>
      </c>
      <c r="H38" s="123"/>
      <c r="I38" s="72">
        <f>IF(I24="","",IF(I37&gt;1,"SOS",(((1-I33*I37)/(1-I37))^(1/I24)-1)/(((1-I33*I37)/(1-I37))^(1/I24)-I33)))</f>
        <v>0.856535334584115</v>
      </c>
    </row>
    <row r="39" spans="1:10" ht="15.75" customHeight="1">
      <c r="A39" s="193" t="s">
        <v>5</v>
      </c>
      <c r="B39" s="87">
        <f>IF(B23="istosm",EXP((1+B33)*B40),IF(B23="suprot",EXP((1-B33)*B40),IF(B23="unakrsno",EXP(B40),EXP(B40*(1+B33^2)^IF(B23="RT62",1/3,0.5)/B24))))</f>
        <v>9.380714887323645</v>
      </c>
      <c r="C39" s="194" t="s">
        <v>32</v>
      </c>
      <c r="D39" s="124"/>
      <c r="E39" s="121">
        <f>IF(E23="istosm",1/(1+E33),IF(E23="suprot","",IF(E23="unakrsno",1/(1+E33/2),IF(OR(E23="RT21",E23="RT42",E23="RT63",E23="RT84"),2/(1+E33+(1+E33^2)^0.5),IF(E23="RT62",2/(1+E33+(1+E33^2)^(1/3)),"SOS")))))</f>
        <v>0.9775264568141647</v>
      </c>
      <c r="F39" s="166" t="s">
        <v>32</v>
      </c>
      <c r="G39" s="122">
        <f>IF(G23="istosm",1/(1+G33),IF(G23="suprot","",IF(G23="unakrsno",1/(1+G33/2),IF(OR(G23="RT21",G23="RT42",G23="RT63",G23="RT84"),2/(1+G33+(1+G33^2)^0.5),IF(G23="RT62",2/(1+G33+(1+G33^2)^(1/3)),"SOS")))))</f>
        <v>0.9775277467170272</v>
      </c>
      <c r="H39" s="125"/>
      <c r="I39" s="72">
        <f>IF(I23="istosm",1/(1+I33),IF(I23="suprot","",IF(I23="unakrsno",1/(1+I33/2),IF(OR(I23="RT21",I23="RT42",I23="RT63",I23="RT84"),2/(1+I33+(1+I33^2)^0.5),IF(I23="RT62",2/(1+I33+(1+I33^2)^(1/3)),"SOS")))))</f>
        <v>0.954494256720493</v>
      </c>
      <c r="J39" s="19"/>
    </row>
    <row r="40" spans="1:9" ht="15.75" customHeight="1">
      <c r="A40" s="193" t="s">
        <v>29</v>
      </c>
      <c r="B40" s="122">
        <f>B41/IF(B31&gt;B32,B32,B31)</f>
        <v>2.2294036383745635</v>
      </c>
      <c r="C40" s="191" t="s">
        <v>29</v>
      </c>
      <c r="D40" s="126">
        <f>D41/IF(D31&gt;D32,D32,D31)</f>
        <v>0.9646954892242093</v>
      </c>
      <c r="E40" s="127">
        <f>IF(E37&gt;E39,"SOS",IF(E37&gt;1,"SOS",IF(E23="suprot",LN((1-E33*E37)/(1-E37))/(1-E33),IF(E23="istosm",LN(1/(1-E37*(1+E33)))/(1+E33),IF(E23="unakrsno",LN((1-E33*E37/2)/(1-E37*(1+E33/2))),E24*LN((2-E38*(1+E33-(1+E33^2)^IF(E23="RT62",1/3,0.5)))/(2-E38*(1+E33+(1+E33^2)^IF(E23="RT62",1/3,0.5))))/(1+E33^2)^IF(E23="RT62",1/3,0.5))))))</f>
        <v>1.018210282594733</v>
      </c>
      <c r="F40" s="193" t="s">
        <v>29</v>
      </c>
      <c r="G40" s="96">
        <f>IF(G23="suprot",LN((1-G33*G37)/(1-G37))/(1-G33),IF(G23="istosm",LN(1/(1-G37*(1+G33)))/(1+G33),IF(G23="unakrsno",LN((1-G33*G37/2)/(1-G37*(1+G33/2))),G24*LN((2-G38*(1+G33-(1+G33^2)^IF(G23="RT62",1/3,0.5)))/(2-G38*(1+G33+(1+G33^2)^IF(G23="RT62",1/3,0.5))))/(1+G33^2)^IF(G23="RT62",1/3,0.5))))</f>
        <v>1.018362388480416</v>
      </c>
      <c r="H40" s="128">
        <f>H41/IF(H31&gt;H32,H32,H31)</f>
        <v>0.9646040030908969</v>
      </c>
      <c r="I40" s="91">
        <f>IF(I23="suprot",LN((1-I33*I37)/(1-I37))/(1-I33),IF(I23="istosm",LN(1/(1-I37*(1+I33)))/(1+I33),IF(I23="unakrsno",LN((1-I33*I37/2)/(1-I37*(1+I33/2))),I24*LN((2-I38*(1+I33-(1+I33^2)^IF(I23="RT62",1/3,0.5)))/(2-I38*(1+I33+(1+I33^2)^IF(I23="RT62",1/3,0.5))))/(1+I33^2)^IF(I23="RT62",1/3,0.5))))</f>
        <v>2.2293876427045722</v>
      </c>
    </row>
    <row r="41" spans="1:9" ht="15.75" customHeight="1">
      <c r="A41" s="183" t="s">
        <v>7</v>
      </c>
      <c r="B41" s="107">
        <f>C17-D41-E41</f>
        <v>9.424358000500792</v>
      </c>
      <c r="C41" s="174" t="s">
        <v>7</v>
      </c>
      <c r="D41" s="130">
        <f>D48/D44</f>
        <v>25.449173024369514</v>
      </c>
      <c r="E41" s="86">
        <f>E40*IF(E31&gt;E32,E32,E31)</f>
        <v>2.1264689751296926</v>
      </c>
      <c r="F41" s="183" t="s">
        <v>7</v>
      </c>
      <c r="G41" s="82">
        <f>G40*IF(G31&gt;G32,G32,G31)</f>
        <v>2.1266644453509054</v>
      </c>
      <c r="H41" s="130">
        <f>H48/H44</f>
        <v>25.451179545603846</v>
      </c>
      <c r="I41" s="86">
        <f>I40*IF(I31&gt;I32,I32,I31)</f>
        <v>9.424290382005037</v>
      </c>
    </row>
    <row r="42" spans="1:9" ht="15.75" customHeight="1">
      <c r="A42" s="188" t="s">
        <v>1</v>
      </c>
      <c r="B42" s="197">
        <f>IF(B33=1,B30-B34,(B36-B33*B36)/LN((B30-B33*B36)/(B30-B36)))</f>
        <v>53.52542179218803</v>
      </c>
      <c r="C42" s="190" t="s">
        <v>1</v>
      </c>
      <c r="D42" s="88">
        <f>D34/LN(D30/(D30-D34))</f>
        <v>90.73143546900008</v>
      </c>
      <c r="E42" s="89">
        <f>IF(E33=1,E30-E36,(E34-E35)/LN((E30-E35)/(E30-E34)))</f>
        <v>261.9324481259454</v>
      </c>
      <c r="F42" s="188" t="s">
        <v>1</v>
      </c>
      <c r="G42" s="131">
        <f>IF(G33=1,G30-G34,(G34-G35)/LN((G30-G35)/(G30-G34)))</f>
        <v>261.90891136013164</v>
      </c>
      <c r="H42" s="132">
        <f>IF(H33=1,H30-H34,H34/LN(H30/(H30-H34)))</f>
        <v>90.72428238002186</v>
      </c>
      <c r="I42" s="115">
        <f>IF(I33=1,I30-I34,(I34-I35)/LN((I30-I35)/(I30-I34)))</f>
        <v>53.52563548705324</v>
      </c>
    </row>
    <row r="43" spans="1:11" ht="15.75" customHeight="1">
      <c r="A43" s="196" t="s">
        <v>4</v>
      </c>
      <c r="B43" s="69">
        <f>B37*B30/(B40*B42)</f>
        <v>0.9181967088685794</v>
      </c>
      <c r="C43" s="198" t="s">
        <v>4</v>
      </c>
      <c r="D43" s="133">
        <v>1</v>
      </c>
      <c r="E43" s="89">
        <f>E37*E30/(E40*E42)</f>
        <v>0.9919366332504354</v>
      </c>
      <c r="F43" s="196" t="s">
        <v>4</v>
      </c>
      <c r="G43" s="131">
        <f>G37*G30/(G40*G42)</f>
        <v>0.9919345938033379</v>
      </c>
      <c r="H43" s="129">
        <v>1</v>
      </c>
      <c r="I43" s="115">
        <f>I37*I30/(I40*I42)</f>
        <v>0.9181979368507242</v>
      </c>
      <c r="K43" s="23"/>
    </row>
    <row r="44" spans="1:9" ht="15.75" customHeight="1">
      <c r="A44" s="112" t="s">
        <v>60</v>
      </c>
      <c r="B44" s="71">
        <f>B42*B43</f>
        <v>49.14686613038958</v>
      </c>
      <c r="C44" s="135" t="s">
        <v>60</v>
      </c>
      <c r="D44" s="126">
        <f>D42*D43</f>
        <v>90.73143546900008</v>
      </c>
      <c r="E44" s="127">
        <f>E42*E43</f>
        <v>259.8203907330946</v>
      </c>
      <c r="F44" s="134" t="s">
        <v>60</v>
      </c>
      <c r="G44" s="87">
        <f>G42*G43</f>
        <v>259.79650960348664</v>
      </c>
      <c r="H44" s="136">
        <f>H42*H43</f>
        <v>90.72428238002186</v>
      </c>
      <c r="I44" s="91">
        <f>I42*I43</f>
        <v>49.147128072836196</v>
      </c>
    </row>
    <row r="45" spans="1:9" ht="15.75" customHeight="1">
      <c r="A45" s="199" t="s">
        <v>61</v>
      </c>
      <c r="B45" s="137">
        <f>B32*B34</f>
        <v>463.1776610154785</v>
      </c>
      <c r="C45" s="169" t="s">
        <v>61</v>
      </c>
      <c r="D45" s="137">
        <f>D32*D34</f>
        <v>2309.04</v>
      </c>
      <c r="E45" s="138">
        <f>E32*E34</f>
        <v>552.5</v>
      </c>
      <c r="F45" s="199" t="s">
        <v>61</v>
      </c>
      <c r="G45" s="137">
        <f>G32*G34</f>
        <v>552.5</v>
      </c>
      <c r="H45" s="137">
        <f>H32*H34</f>
        <v>2309.04</v>
      </c>
      <c r="I45" s="138">
        <f>I32*I34</f>
        <v>463.17680639999986</v>
      </c>
    </row>
    <row r="46" spans="1:9" ht="15.75" customHeight="1">
      <c r="A46" s="213" t="s">
        <v>62</v>
      </c>
      <c r="B46" s="139">
        <f>B31*B35</f>
        <v>463.1776610154785</v>
      </c>
      <c r="C46" s="170" t="s">
        <v>62</v>
      </c>
      <c r="D46" s="139">
        <f>D31*D35</f>
        <v>2309.04</v>
      </c>
      <c r="E46" s="140">
        <f>E31*E35</f>
        <v>552.5</v>
      </c>
      <c r="F46" s="213" t="s">
        <v>62</v>
      </c>
      <c r="G46" s="139">
        <f>G31*G35</f>
        <v>552.5</v>
      </c>
      <c r="H46" s="139">
        <f>H31*H35</f>
        <v>2309.04</v>
      </c>
      <c r="I46" s="141">
        <f>IF(F15="PRIMAR",I31*(H50-I50),I31*I35)</f>
        <v>463.17680639999986</v>
      </c>
    </row>
    <row r="47" spans="1:9" ht="15.75" customHeight="1">
      <c r="A47" s="213" t="s">
        <v>65</v>
      </c>
      <c r="B47" s="139">
        <f>B41*B44</f>
        <v>463.17766101547846</v>
      </c>
      <c r="C47" s="170" t="s">
        <v>65</v>
      </c>
      <c r="D47" s="139">
        <f>D41*D44</f>
        <v>2309.04</v>
      </c>
      <c r="E47" s="142">
        <f>E41*E44</f>
        <v>552.5</v>
      </c>
      <c r="F47" s="213" t="s">
        <v>63</v>
      </c>
      <c r="G47" s="139">
        <f>G41*G44</f>
        <v>552.5000000000001</v>
      </c>
      <c r="H47" s="139">
        <f>H41*H44</f>
        <v>2309.04</v>
      </c>
      <c r="I47" s="142">
        <f>I41*I44</f>
        <v>463.1768063999999</v>
      </c>
    </row>
    <row r="48" spans="1:9" ht="15.75" customHeight="1">
      <c r="A48" s="212"/>
      <c r="B48" s="200"/>
      <c r="C48" s="201" t="s">
        <v>66</v>
      </c>
      <c r="D48" s="143">
        <f>IF(D9&lt;0.8,"SOS",A11*H9*(1+D17)*D9)</f>
        <v>2309.04</v>
      </c>
      <c r="E48" s="144">
        <f>A11*(C9-B17)</f>
        <v>552.5</v>
      </c>
      <c r="F48" s="212" t="s">
        <v>64</v>
      </c>
      <c r="G48" s="143">
        <f>A11*(C9-G17)</f>
        <v>552.5</v>
      </c>
      <c r="H48" s="143">
        <f>IF(D9&lt;0.8,"SOS",A11*H9*(1+H17)*D9)</f>
        <v>2309.04</v>
      </c>
      <c r="I48" s="214" t="s">
        <v>66</v>
      </c>
    </row>
    <row r="49" spans="1:9" ht="15.75" customHeight="1">
      <c r="A49" s="80"/>
      <c r="B49" s="81" t="s">
        <v>0</v>
      </c>
      <c r="C49" s="43"/>
      <c r="D49" s="40"/>
      <c r="E49" s="58"/>
      <c r="F49" s="80"/>
      <c r="G49" s="81" t="s">
        <v>0</v>
      </c>
      <c r="H49" s="43"/>
      <c r="I49" s="145"/>
    </row>
    <row r="50" spans="1:9" ht="15.75" customHeight="1">
      <c r="A50" s="184" t="s">
        <v>48</v>
      </c>
      <c r="B50" s="146">
        <f>B15</f>
        <v>38.35179783420183</v>
      </c>
      <c r="C50" s="173" t="s">
        <v>48</v>
      </c>
      <c r="D50" s="147">
        <f>E9</f>
        <v>147.92</v>
      </c>
      <c r="E50" s="148">
        <f>(D50-IF(C15="cevi",D11/E11,1)*(H11/G11)*D51)/(1-IF(C15="cevi",D11/E11,1)*(H11/G11))</f>
        <v>235.4482065277818</v>
      </c>
      <c r="F50" s="184" t="s">
        <v>48</v>
      </c>
      <c r="G50" s="146">
        <f>(H50-IF(H15="cevi",D11/E11,1)*(H11/G11)*H51)/(1-IF(H15="cevi",(D11/E11),1)*(H11/G11))</f>
        <v>235.433005961318</v>
      </c>
      <c r="H50" s="149">
        <f>E9</f>
        <v>147.92</v>
      </c>
      <c r="I50" s="148">
        <f>IF(F15="PRIMAR",G15,H50-I35)</f>
        <v>38.352</v>
      </c>
    </row>
    <row r="51" spans="1:9" ht="15.75" customHeight="1">
      <c r="A51" s="209" t="s">
        <v>49</v>
      </c>
      <c r="B51" s="150">
        <f>C11+B34</f>
        <v>29.992657480733833</v>
      </c>
      <c r="C51" s="172" t="s">
        <v>49</v>
      </c>
      <c r="D51" s="146">
        <f>B51+D34</f>
        <v>79.84250603394747</v>
      </c>
      <c r="E51" s="151">
        <f>D51+E34</f>
        <v>91.73934696510945</v>
      </c>
      <c r="F51" s="209" t="s">
        <v>49</v>
      </c>
      <c r="G51" s="150">
        <f>IF(F15="PRIMAR",H51+G34,G15)</f>
        <v>91.75116962791462</v>
      </c>
      <c r="H51" s="152">
        <f>IF(F15="PRIMAR",I51+H34,G51-G34)</f>
        <v>79.85432869675265</v>
      </c>
      <c r="I51" s="153">
        <f>IF(F15="PRIMAR",C11+I34,H51-H34)</f>
        <v>29.992639043143953</v>
      </c>
    </row>
    <row r="52" spans="1:9" ht="15.75" customHeight="1">
      <c r="A52" s="184" t="s">
        <v>52</v>
      </c>
      <c r="B52" s="154">
        <f>(E9+B50)/2</f>
        <v>93.13589891710092</v>
      </c>
      <c r="C52" s="173" t="s">
        <v>52</v>
      </c>
      <c r="D52" s="154">
        <f>(E50+D50)/2</f>
        <v>191.6841032638909</v>
      </c>
      <c r="E52" s="155">
        <f>(B9+E50)/2</f>
        <v>367.7241032638909</v>
      </c>
      <c r="F52" s="184" t="s">
        <v>52</v>
      </c>
      <c r="G52" s="154">
        <f>(B9+G50)/2</f>
        <v>367.716502980659</v>
      </c>
      <c r="H52" s="154">
        <f>(G50+H50)/2</f>
        <v>191.676502980659</v>
      </c>
      <c r="I52" s="155">
        <f>(H50+I50)/2</f>
        <v>93.136</v>
      </c>
    </row>
    <row r="53" spans="1:9" ht="15.75" customHeight="1">
      <c r="A53" s="184" t="s">
        <v>53</v>
      </c>
      <c r="B53" s="156">
        <f>(C11+B51)/2</f>
        <v>24.996328740366916</v>
      </c>
      <c r="C53" s="173" t="s">
        <v>53</v>
      </c>
      <c r="D53" s="156">
        <f>(B51+D51)/2</f>
        <v>54.917581757340656</v>
      </c>
      <c r="E53" s="157">
        <f>(D51+E51)/2</f>
        <v>85.79092649952847</v>
      </c>
      <c r="F53" s="184" t="s">
        <v>53</v>
      </c>
      <c r="G53" s="156">
        <f>(H51+G51)/2</f>
        <v>85.80274916233364</v>
      </c>
      <c r="H53" s="156">
        <f>(I51+H51)/2</f>
        <v>54.9234838699483</v>
      </c>
      <c r="I53" s="157">
        <f>(C11+I51)/2</f>
        <v>24.996319521571976</v>
      </c>
    </row>
    <row r="54" spans="1:9" ht="15.75" customHeight="1" thickBot="1">
      <c r="A54" s="232" t="s">
        <v>69</v>
      </c>
      <c r="B54" s="158" t="str">
        <f>B23</f>
        <v>RT21</v>
      </c>
      <c r="C54" s="231" t="s">
        <v>69</v>
      </c>
      <c r="D54" s="158" t="str">
        <f>D23</f>
        <v>RT21</v>
      </c>
      <c r="E54" s="159" t="str">
        <f>E23</f>
        <v>RT21</v>
      </c>
      <c r="F54" s="232" t="s">
        <v>69</v>
      </c>
      <c r="G54" s="158" t="str">
        <f>G23</f>
        <v>RT21</v>
      </c>
      <c r="H54" s="158" t="str">
        <f>H23</f>
        <v>RT21</v>
      </c>
      <c r="I54" s="159" t="str">
        <f>I23</f>
        <v>RT21</v>
      </c>
    </row>
    <row r="55" spans="1:9" ht="15.75" customHeight="1">
      <c r="A55" s="41"/>
      <c r="B55" s="41"/>
      <c r="C55" s="41"/>
      <c r="D55" s="41"/>
      <c r="E55" s="41"/>
      <c r="F55" s="160"/>
      <c r="G55" s="41"/>
      <c r="H55" s="41"/>
      <c r="I55" s="41"/>
    </row>
    <row r="56" spans="1:9" ht="15.75" customHeight="1">
      <c r="A56" s="233" t="s">
        <v>22</v>
      </c>
      <c r="B56" s="233"/>
      <c r="C56" s="45"/>
      <c r="D56" s="45"/>
      <c r="E56" s="45"/>
      <c r="F56" s="233" t="s">
        <v>76</v>
      </c>
      <c r="G56" s="45"/>
      <c r="H56" s="45"/>
      <c r="I56" s="45"/>
    </row>
    <row r="57" spans="1:9" ht="15.75" customHeight="1">
      <c r="A57" s="233" t="s">
        <v>75</v>
      </c>
      <c r="B57" s="45"/>
      <c r="C57" s="234"/>
      <c r="D57" s="235"/>
      <c r="E57" s="235"/>
      <c r="F57" s="233" t="s">
        <v>20</v>
      </c>
      <c r="G57" s="235"/>
      <c r="H57" s="235"/>
      <c r="I57" s="45"/>
    </row>
    <row r="58" ht="15.75" customHeight="1">
      <c r="F58" s="15"/>
    </row>
    <row r="59" spans="2:9" ht="15.75" customHeight="1">
      <c r="B59" s="5"/>
      <c r="E59" s="3"/>
      <c r="F59" s="2"/>
      <c r="G59" s="3"/>
      <c r="H59" s="9"/>
      <c r="I59" s="2"/>
    </row>
    <row r="60" spans="1:8" ht="15.75" customHeight="1">
      <c r="A60" s="6"/>
      <c r="B60" s="7"/>
      <c r="C60" s="7"/>
      <c r="D60" s="7"/>
      <c r="E60" s="6"/>
      <c r="F60" s="7"/>
      <c r="G60" s="7"/>
      <c r="H60" s="4"/>
    </row>
    <row r="61" spans="1:8" ht="15.75" customHeight="1">
      <c r="A61" s="8"/>
      <c r="B61" s="8"/>
      <c r="C61" s="8"/>
      <c r="D61" s="8"/>
      <c r="E61" s="8"/>
      <c r="F61" s="8"/>
      <c r="G61" s="8"/>
      <c r="H61" s="4"/>
    </row>
    <row r="62" spans="1:8" ht="15.75" customHeight="1">
      <c r="A62" s="7"/>
      <c r="B62" s="8"/>
      <c r="C62" s="7"/>
      <c r="D62" s="7"/>
      <c r="E62" s="7"/>
      <c r="F62" s="7"/>
      <c r="G62" s="7"/>
      <c r="H62" s="4"/>
    </row>
    <row r="63" spans="1:8" ht="18" customHeight="1">
      <c r="A63" s="7"/>
      <c r="B63" s="7"/>
      <c r="C63" s="7"/>
      <c r="D63" s="7"/>
      <c r="E63" s="7"/>
      <c r="F63" s="7"/>
      <c r="G63" s="7"/>
      <c r="H63" s="4"/>
    </row>
    <row r="64" spans="1:7" ht="18" customHeight="1">
      <c r="A64" s="7"/>
      <c r="B64" s="7"/>
      <c r="C64" s="7"/>
      <c r="D64" s="7"/>
      <c r="E64" s="7"/>
      <c r="F64" s="7"/>
      <c r="G64" s="7"/>
    </row>
    <row r="65" spans="1:7" ht="18" customHeight="1">
      <c r="A65" s="7"/>
      <c r="B65" s="7"/>
      <c r="C65" s="7"/>
      <c r="D65" s="7"/>
      <c r="E65" s="7"/>
      <c r="F65" s="7"/>
      <c r="G65" s="7"/>
    </row>
    <row r="66" spans="2:6" ht="18" customHeight="1">
      <c r="B66" s="7"/>
      <c r="F66" s="7"/>
    </row>
    <row r="67" spans="2:6" ht="18" customHeight="1">
      <c r="B67" s="7"/>
      <c r="F67" s="7"/>
    </row>
    <row r="68" spans="1:6" ht="18" customHeight="1">
      <c r="A68" s="14"/>
      <c r="B68" s="7"/>
      <c r="F68" s="7"/>
    </row>
    <row r="69" spans="2:6" ht="18" customHeight="1">
      <c r="B69" s="7"/>
      <c r="F69" s="7"/>
    </row>
    <row r="70" spans="2:6" ht="18" customHeight="1">
      <c r="B70" s="7"/>
      <c r="F70" s="7"/>
    </row>
    <row r="71" spans="2:6" ht="18" customHeight="1">
      <c r="B71" s="7"/>
      <c r="F71" s="7"/>
    </row>
    <row r="72" spans="2:6" ht="18" customHeight="1">
      <c r="B72" s="7"/>
      <c r="F72" s="7"/>
    </row>
    <row r="73" spans="2:6" ht="18" customHeight="1">
      <c r="B73" s="7"/>
      <c r="F73" s="7"/>
    </row>
    <row r="78" ht="14.25">
      <c r="F78" s="15"/>
    </row>
  </sheetData>
  <sheetProtection password="C784" sheet="1" objects="1" scenarios="1"/>
  <dataValidations count="17">
    <dataValidation type="list" allowBlank="1" showInputMessage="1" showErrorMessage="1" promptTitle="Zadata temperatura na izlazu" prompt="Uzeti iz menija" errorTitle="IZLAZNA TEMPERATURA" error="Mora biti&#10;PRIMAR ili SEKUNDAR" sqref="F15">
      <formula1>"PRIMAR, SEKUNDAR"</formula1>
    </dataValidation>
    <dataValidation allowBlank="1" showInputMessage="1" showErrorMessage="1" prompt="Obavezan podatak" sqref="A9"/>
    <dataValidation type="list" allowBlank="1" showInputMessage="1" showErrorMessage="1" promptTitle="Polozaj primara u aparatu" prompt="Uzeti iz menija" sqref="H15">
      <formula1>"cevi,omotacu"</formula1>
    </dataValidation>
    <dataValidation allowBlank="1" showInputMessage="1" showErrorMessage="1" promptTitle="ZADATA VREDNOST" prompt="kA" sqref="C17"/>
    <dataValidation allowBlank="1" showInputMessage="1" showErrorMessage="1" promptTitle="RACUNSKA VREDNOST" prompt="Izlaz primara iz RT" sqref="A15"/>
    <dataValidation allowBlank="1" showInputMessage="1" showErrorMessage="1" promptTitle="TOPLOTNA SNAGA RAZMENE" prompt="Preko bilansa primara" sqref="I15"/>
    <dataValidation allowBlank="1" showInputMessage="1" showErrorMessage="1" promptTitle="PRIVIDNI TOPLOTNI EKVIVALENT" prompt="Izvedena vrednost za paru" sqref="G31"/>
    <dataValidation allowBlank="1" showInputMessage="1" showErrorMessage="1" promptTitle="PRIVIDNI TOPLOTNI EKVIVALENT" prompt="Izvedena vrednost za mesavinu pare i kondenzata" sqref="H31"/>
    <dataValidation allowBlank="1" showInputMessage="1" showErrorMessage="1" promptTitle="ITERACIJA temp. pare na izlazu " prompt="Predpostaviti kao temperaturu kondenzacije,&#10;zatim uneti =A15" sqref="B15"/>
    <dataValidation allowBlank="1" showInputMessage="1" showErrorMessage="1" promptTitle="Specificna toplota  ITERACIJE" prompt="Uneti vrednosti za izracunatu srednju temperaturu fluida&#10;" sqref="B28:B29 D29:E29 G29:H29 I28:I29"/>
    <dataValidation type="list" allowBlank="1" showInputMessage="1" showErrorMessage="1" promptTitle="Konfiguracija aparata" prompt="Izabrati iz menija" sqref="B23 D23:E23 G23:I23">
      <formula1>"ISTOS,SUPROT,UNAKRSNO,RT21,RT42,RT63,RT84,RT62"</formula1>
    </dataValidation>
    <dataValidation allowBlank="1" showInputMessage="1" showErrorMessage="1" promptTitle="ITERACIJE ENTALPIJE" prompt="Predpostaviti vrednost za suvu paru,&#10;zatim unositi vrednost prema izracunatoj temperaturi na granici hladjenja pare tpHP" sqref="B17 G17"/>
    <dataValidation type="list" allowBlank="1" showInputMessage="1" showErrorMessage="1" promptTitle="Polozaj primara u aparatu" prompt="Uzeti iz menija" sqref="C15">
      <formula1>"cevi,omotacu"</formula1>
    </dataValidation>
    <dataValidation allowBlank="1" showInputMessage="1" showErrorMessage="1" promptTitle="PRIVIDNI TOPLOTNI EKVIVALENT" prompt="Izvedena vrednost za  paru" sqref="E31"/>
    <dataValidation allowBlank="1" showInputMessage="1" showErrorMessage="1" promptTitle="PRIVIDNI TOPLOTNI EKVIVALENT" prompt="Izvedena vrednost za mesavinu pare i kondenzata" sqref="D31"/>
    <dataValidation allowBlank="1" showInputMessage="1" showErrorMessage="1" prompt="Ukupna vrednost za sve faze" sqref="C18:C19 F18:F19"/>
    <dataValidation allowBlank="1" showInputMessage="1" showErrorMessage="1" promptTitle="ALARM" prompt="Ne moze biti izlaz primara veci od temperature kondenzacije&#10;Potrebno je menjati ulazne podatke: kA, protoke ili temperature na ulazu" sqref="D15"/>
  </dataValidations>
  <printOptions/>
  <pageMargins left="0.7480314960629921" right="0.2362204724409449" top="0.5905511811023623" bottom="0.1968503937007874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EXCELOVA PODRSKA KNJIGE</dc:title>
  <dc:subject>Dobosasti razmenjivaci toplote</dc:subject>
  <dc:creator>Rikalovic Milan</dc:creator>
  <cp:keywords>Razmenjivac toplote</cp:keywords>
  <dc:description>Aplikacija za podrsku knjige
DOBOSASTI RAZMENJIVACI TOPLOTE
Verzija 2</dc:description>
  <cp:lastModifiedBy>Dusan</cp:lastModifiedBy>
  <cp:lastPrinted>2017-05-18T22:44:10Z</cp:lastPrinted>
  <dcterms:created xsi:type="dcterms:W3CDTF">1999-12-25T14:09:33Z</dcterms:created>
  <dcterms:modified xsi:type="dcterms:W3CDTF">2017-05-20T16:47:50Z</dcterms:modified>
  <cp:category>Excelova aplikacija</cp:category>
  <cp:version/>
  <cp:contentType/>
  <cp:contentStatus/>
</cp:coreProperties>
</file>